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8979E6AD-842F-4967-B351-39252CFD06B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V5" i="5"/>
  <c r="E5" i="5"/>
  <c r="P3" i="4"/>
  <c r="C4" i="5"/>
  <c r="C6" i="5"/>
  <c r="C7" i="5"/>
  <c r="C8" i="5"/>
  <c r="C9" i="5"/>
  <c r="C10" i="5"/>
  <c r="C11" i="5"/>
  <c r="C12" i="5"/>
  <c r="C13" i="5"/>
  <c r="C14" i="5"/>
  <c r="C15" i="5"/>
  <c r="F69" i="6"/>
  <c r="D4" i="5"/>
  <c r="E4" i="5"/>
  <c r="V6" i="5"/>
  <c r="E6" i="5"/>
  <c r="V7" i="5"/>
  <c r="E7" i="5"/>
  <c r="V8" i="5"/>
  <c r="E8" i="5"/>
  <c r="V9" i="5"/>
  <c r="E9" i="5"/>
  <c r="V10" i="5"/>
  <c r="E10" i="5"/>
  <c r="V11" i="5"/>
  <c r="E11" i="5"/>
  <c r="V12" i="5"/>
  <c r="E12" i="5"/>
  <c r="V13" i="5"/>
  <c r="E13" i="5"/>
  <c r="V14" i="5"/>
  <c r="E14" i="5"/>
  <c r="V15"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<sst xmlns="http://schemas.openxmlformats.org/spreadsheetml/2006/main" count="22231" uniqueCount="15672">
  <si>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</si>
  <si>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</si>
  <si>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</si>
  <si>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</si>
  <si>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</si>
  <si>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</si>
  <si>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</si>
  <si>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</si>
  <si>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</si>
  <si>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</si>
  <si>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</si>
  <si>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</si>
  <si>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</si>
  <si>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</si>
  <si>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</si>
  <si>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</si>
  <si>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</si>
  <si>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</si>
  <si>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</si>
  <si>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</si>
  <si>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</si>
  <si>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</si>
  <si>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</si>
  <si>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</si>
  <si>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</si>
  <si>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</si>
  <si>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</si>
  <si>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</si>
  <si>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</si>
  <si>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</si>
  <si>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</si>
  <si>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</si>
  <si>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</si>
  <si>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</si>
  <si>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</si>
  <si>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</si>
  <si>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</si>
  <si>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</si>
  <si>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</si>
  <si>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</si>
  <si>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</si>
  <si>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</si>
  <si>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</si>
  <si>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</si>
  <si>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</si>
  <si>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</si>
  <si>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</si>
  <si>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</si>
  <si>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</si>
  <si>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</si>
  <si>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</si>
  <si>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</si>
  <si>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</si>
  <si>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</si>
  <si>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</si>
  <si>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</si>
  <si>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</si>
  <si>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</si>
  <si>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</si>
  <si>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</si>
  <si>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</si>
  <si>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</si>
  <si>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</si>
  <si>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</si>
  <si>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</si>
  <si>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</si>
  <si>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</si>
  <si>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</si>
  <si>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</si>
  <si>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</si>
  <si>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</si>
  <si>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</si>
  <si>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</si>
  <si>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</si>
  <si>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</si>
  <si>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</si>
  <si>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</si>
  <si>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</si>
  <si>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</si>
  <si>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</si>
  <si>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</si>
  <si>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</si>
  <si>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</si>
  <si>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</si>
  <si>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</si>
  <si>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</si>
  <si>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</si>
  <si>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</si>
  <si>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</si>
  <si>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</si>
  <si>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</si>
  <si>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</si>
  <si>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</si>
  <si>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</si>
  <si>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</si>
  <si>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</si>
  <si>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</si>
  <si>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</si>
  <si>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</si>
  <si>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</si>
  <si>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</si>
  <si>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</si>
  <si>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</si>
  <si>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</si>
  <si>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</si>
  <si>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</si>
  <si>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</si>
  <si>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</si>
  <si>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</si>
  <si>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</si>
  <si>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</si>
  <si>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</si>
  <si>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</si>
  <si>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</si>
  <si>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</si>
  <si>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</si>
  <si>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</si>
  <si>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</si>
  <si>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</si>
  <si>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</si>
  <si>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</si>
  <si>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</si>
  <si>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</si>
  <si>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</si>
  <si>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</si>
  <si>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</si>
  <si>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</si>
  <si>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</si>
  <si>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</si>
  <si>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</si>
  <si>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</si>
  <si>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</si>
  <si>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</si>
  <si>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</si>
  <si>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</si>
  <si>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</si>
  <si>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</si>
  <si>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</si>
  <si>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</si>
  <si>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</si>
  <si>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</si>
  <si>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</si>
  <si>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</si>
  <si>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</si>
  <si>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</si>
  <si>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</si>
  <si>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</si>
  <si>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</si>
  <si>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</si>
  <si>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</si>
  <si>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</si>
  <si>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</si>
  <si>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</si>
  <si>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</si>
  <si>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</si>
  <si>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</si>
  <si>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</si>
  <si>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</si>
  <si>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</si>
  <si>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</si>
  <si>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</si>
  <si>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</si>
  <si>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</si>
  <si>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</si>
  <si>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</si>
  <si>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</si>
  <si>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</si>
  <si>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</si>
  <si>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</si>
  <si>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</si>
  <si>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</si>
  <si>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</si>
  <si>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</si>
  <si>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</si>
  <si>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</si>
  <si>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</si>
  <si>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</si>
  <si>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</si>
  <si>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</si>
  <si>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</si>
  <si>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</si>
  <si>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</si>
  <si>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</si>
  <si>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</si>
  <si>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</si>
  <si>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</si>
  <si>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</si>
  <si>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</si>
  <si>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</si>
  <si>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</si>
  <si>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</si>
  <si>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</si>
  <si>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</si>
  <si>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</si>
  <si>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</si>
  <si>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</si>
  <si>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</si>
  <si>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</si>
  <si>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</si>
  <si>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</si>
  <si>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</si>
  <si>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</si>
  <si>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</si>
  <si>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</si>
  <si>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</si>
  <si>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</si>
  <si>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</si>
  <si>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</si>
  <si>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</si>
  <si>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</si>
  <si>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</si>
  <si>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</si>
  <si>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</si>
  <si>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</si>
  <si>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</si>
  <si>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</si>
  <si>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</si>
  <si>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</si>
  <si>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</si>
  <si>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</si>
  <si>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</si>
  <si>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</si>
  <si>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</si>
  <si>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</si>
  <si>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</si>
  <si>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</si>
  <si>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</si>
  <si>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</si>
  <si>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</si>
  <si>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</si>
  <si>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</si>
  <si>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</si>
  <si>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</si>
  <si>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</si>
  <si>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</si>
  <si>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</si>
  <si>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</si>
  <si>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</si>
  <si>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</si>
  <si>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</si>
  <si>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</si>
  <si>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</si>
  <si>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</si>
  <si>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</si>
  <si>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</si>
  <si>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</si>
  <si>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</si>
  <si>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</si>
  <si>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</si>
  <si>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</si>
  <si>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</si>
  <si>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</si>
  <si>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</si>
  <si>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</si>
  <si>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</si>
  <si>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</si>
  <si>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</si>
  <si>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</si>
  <si>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</si>
  <si>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</si>
  <si>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</si>
  <si>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</si>
  <si>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</si>
  <si>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</si>
  <si>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</si>
  <si>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</si>
  <si>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</si>
  <si>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</si>
  <si>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</si>
  <si>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</si>
  <si>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</si>
  <si>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</si>
  <si>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</si>
  <si>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</si>
  <si>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</si>
  <si>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</si>
  <si>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</si>
  <si>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</si>
  <si>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</si>
  <si>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</si>
  <si>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</si>
  <si>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</si>
  <si>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</si>
  <si>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</si>
  <si>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</si>
  <si>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</si>
  <si>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</si>
  <si>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</si>
  <si>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</si>
  <si>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</si>
  <si>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</si>
  <si>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</si>
  <si>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</si>
  <si>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</si>
  <si>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</si>
  <si>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</si>
  <si>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</si>
  <si>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</si>
  <si>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</si>
  <si>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</si>
  <si>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</si>
  <si>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</si>
  <si>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</si>
  <si>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</si>
  <si>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</si>
  <si>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</si>
  <si>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</si>
  <si>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</si>
  <si>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</si>
  <si>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</si>
  <si>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</si>
  <si>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</si>
  <si>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</si>
  <si>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</si>
  <si>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</si>
  <si>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</si>
  <si>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</si>
  <si>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</si>
  <si>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</si>
  <si>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</si>
  <si>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</si>
  <si>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</si>
  <si>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</si>
  <si>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</si>
  <si>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</si>
  <si>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</si>
  <si>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</si>
  <si>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</si>
  <si>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</si>
  <si>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</si>
  <si>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</si>
  <si>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</si>
  <si>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</si>
  <si>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</si>
  <si>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</si>
  <si>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</si>
  <si>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</si>
  <si>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</si>
  <si>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</si>
  <si>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</si>
  <si>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</si>
  <si>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</si>
  <si>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</si>
  <si>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</si>
  <si>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</si>
  <si>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</si>
  <si>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</si>
  <si>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</si>
  <si>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</si>
  <si>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</si>
  <si>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</si>
  <si>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</si>
  <si>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</si>
  <si>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</si>
  <si>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</si>
  <si>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</si>
  <si>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</si>
  <si>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</si>
  <si>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</si>
  <si>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</si>
  <si>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</si>
  <si>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</si>
  <si>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</si>
  <si>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</si>
  <si>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</si>
  <si>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</si>
  <si>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</si>
  <si>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</si>
  <si>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</si>
  <si>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</si>
  <si>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</si>
  <si>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</si>
  <si>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</si>
  <si>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</si>
  <si>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</si>
  <si>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</si>
  <si>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</si>
  <si>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</si>
  <si>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</si>
  <si>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</si>
  <si>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</si>
  <si>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</si>
  <si>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</si>
  <si>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</si>
  <si>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</si>
  <si>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</si>
  <si>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</si>
  <si>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</si>
  <si>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</si>
  <si>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</si>
  <si>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</si>
  <si>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</si>
  <si>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</si>
  <si>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</si>
  <si>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</si>
  <si>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</si>
  <si>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</si>
  <si>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</si>
  <si>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</si>
  <si>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</si>
  <si>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</si>
  <si>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</si>
  <si>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</si>
  <si>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</si>
  <si>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</si>
  <si>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</si>
  <si>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</si>
  <si>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</si>
  <si>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</si>
  <si>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</si>
  <si>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</si>
  <si>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</si>
  <si>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</si>
  <si>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</si>
  <si>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</si>
  <si>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</si>
  <si>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</si>
  <si>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</si>
  <si>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</si>
  <si>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</si>
  <si>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</si>
  <si>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</si>
  <si>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</si>
  <si>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</si>
  <si>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</si>
  <si>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</si>
  <si>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</si>
  <si>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</si>
  <si>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</si>
  <si>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</si>
  <si>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</si>
  <si>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</si>
  <si>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</si>
  <si>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</si>
  <si>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</si>
  <si>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</si>
  <si>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</si>
  <si>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</si>
  <si>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</si>
  <si>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</si>
  <si>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</si>
  <si>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</si>
  <si>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</si>
  <si>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</si>
  <si>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</si>
  <si>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</si>
  <si>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</si>
  <si>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</si>
  <si>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</si>
  <si>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</si>
  <si>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</si>
  <si>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</si>
  <si>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</si>
  <si>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</si>
  <si>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</si>
  <si>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</si>
  <si>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</si>
  <si>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</si>
  <si>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</si>
  <si>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</si>
  <si>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</si>
  <si>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</si>
  <si>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</si>
  <si>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</si>
  <si>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</si>
  <si>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</si>
  <si>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</si>
  <si>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</si>
  <si>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</si>
  <si>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</si>
  <si>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</si>
  <si>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</si>
  <si>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</si>
  <si>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</si>
  <si>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</si>
  <si>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</si>
  <si>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</si>
  <si>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</si>
  <si>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</si>
  <si>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</si>
  <si>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</si>
  <si>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</si>
  <si>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</si>
  <si>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</si>
  <si>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</si>
  <si>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</si>
  <si>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</si>
  <si>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</si>
  <si>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</si>
  <si>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</si>
  <si>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</si>
  <si>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</si>
  <si>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</si>
  <si>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</si>
  <si>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</si>
  <si>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</si>
  <si>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</si>
  <si>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</si>
  <si>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</si>
  <si>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</si>
  <si>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</si>
  <si>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</si>
  <si>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</si>
  <si>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</si>
  <si>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</si>
  <si>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</si>
  <si>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</si>
  <si>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</si>
  <si>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</si>
  <si>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</si>
  <si>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</si>
  <si>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</si>
  <si>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</si>
  <si>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</si>
  <si>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</si>
  <si>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</si>
  <si>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</si>
  <si>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</si>
  <si>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</si>
  <si>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</si>
  <si>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</si>
  <si>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</si>
  <si>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</si>
  <si>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</si>
  <si>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</si>
  <si>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</si>
  <si>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</si>
  <si>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</si>
  <si>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</si>
  <si>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</si>
  <si>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</si>
  <si>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</si>
  <si>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</si>
  <si>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</si>
  <si>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</si>
  <si>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</si>
  <si>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</si>
  <si>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</si>
  <si>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</si>
  <si>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</si>
  <si>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</si>
  <si>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</si>
  <si>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</si>
  <si>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</si>
  <si>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</si>
  <si>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</si>
  <si>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</si>
  <si>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</si>
  <si>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</si>
  <si>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</si>
  <si>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</si>
  <si>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</si>
  <si>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</si>
  <si>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</si>
  <si>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</si>
  <si>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</si>
  <si>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</si>
  <si>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</si>
  <si>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</si>
  <si>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</si>
  <si>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</si>
  <si>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</si>
  <si>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</si>
  <si>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</si>
  <si>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</si>
  <si>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</si>
  <si>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</si>
  <si>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</si>
  <si>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</si>
  <si>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</si>
  <si>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</si>
  <si>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</si>
  <si>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</si>
  <si>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</si>
  <si>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</si>
  <si>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</si>
  <si>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</si>
  <si>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</si>
  <si>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</si>
  <si>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</si>
  <si>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</si>
  <si>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</si>
  <si>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</si>
  <si>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</si>
  <si>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</si>
  <si>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</si>
  <si>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</si>
  <si>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</si>
  <si>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</si>
  <si>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</si>
  <si>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</si>
  <si>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</si>
  <si>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</si>
  <si>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</si>
  <si>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</si>
  <si>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</si>
  <si>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</si>
  <si>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</si>
  <si>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</si>
  <si>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</si>
  <si>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</si>
  <si>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</si>
  <si>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</si>
  <si>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</si>
  <si>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</si>
  <si>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</si>
  <si>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</si>
  <si>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</si>
  <si>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</si>
  <si>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</si>
  <si>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</si>
  <si>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</si>
  <si>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</si>
  <si>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</si>
  <si>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</si>
  <si>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</si>
  <si>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</si>
  <si>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</si>
  <si>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</si>
  <si>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</si>
  <si>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</si>
  <si>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</si>
  <si>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</si>
  <si>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</si>
  <si>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</si>
  <si>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</si>
  <si>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</si>
  <si>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</si>
  <si>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</si>
  <si>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</si>
  <si>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</si>
  <si>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</si>
  <si>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</si>
  <si>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</si>
  <si>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</si>
  <si>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</si>
  <si>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</si>
  <si>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</si>
  <si>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</si>
  <si>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</si>
  <si>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</si>
  <si>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</si>
  <si>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</si>
  <si>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</si>
  <si>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</si>
  <si>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</si>
  <si>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</si>
  <si>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</si>
  <si>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</si>
  <si>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</si>
  <si>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</si>
  <si>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</si>
  <si>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</si>
  <si>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</si>
  <si>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</si>
  <si>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</si>
  <si>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</si>
  <si>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</si>
  <si>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</si>
  <si>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</si>
  <si>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</si>
  <si>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</si>
  <si>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</si>
  <si>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</si>
  <si>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</si>
  <si>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</si>
  <si>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</si>
  <si>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</si>
  <si>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</si>
  <si>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</si>
  <si>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</si>
  <si>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</si>
  <si>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</si>
  <si>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</si>
  <si>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</si>
  <si>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</si>
  <si>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</si>
  <si>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</si>
  <si>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</si>
  <si>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</si>
  <si>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</si>
  <si>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</si>
  <si>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</si>
  <si>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</si>
  <si>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</si>
  <si>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</si>
  <si>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</si>
  <si>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</si>
  <si>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</si>
  <si>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</si>
  <si>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</si>
  <si>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</si>
  <si>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</si>
  <si>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</si>
  <si>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</si>
  <si>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</si>
  <si>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</si>
  <si>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</si>
  <si>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</si>
  <si>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</si>
  <si>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</si>
  <si>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</si>
  <si>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</si>
  <si>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</si>
  <si>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</si>
  <si>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</si>
  <si>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</si>
  <si>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</si>
  <si>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</si>
  <si>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</si>
  <si>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</si>
  <si>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</si>
  <si>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</si>
  <si>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</si>
  <si>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</si>
  <si>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</si>
  <si>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</si>
  <si>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</si>
  <si>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</si>
  <si>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</si>
  <si>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</si>
  <si>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</si>
  <si>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</si>
  <si>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</si>
  <si>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</si>
  <si>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</si>
  <si>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</si>
  <si>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</si>
  <si>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</si>
  <si>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</si>
  <si>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</si>
  <si>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</si>
  <si>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</si>
  <si>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</si>
  <si>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</si>
  <si>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</si>
  <si>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</si>
  <si>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</si>
  <si>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</si>
  <si>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</si>
  <si>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</si>
  <si>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</si>
  <si>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</si>
  <si>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</si>
  <si>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</si>
  <si>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</si>
  <si>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</si>
  <si>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</si>
  <si>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</si>
  <si>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</si>
  <si>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</si>
  <si>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</si>
  <si>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</si>
  <si>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</si>
  <si>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</si>
  <si>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</si>
  <si>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</si>
  <si>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</si>
  <si>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</si>
  <si>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</si>
  <si>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</si>
  <si>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</si>
  <si>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</si>
  <si>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</si>
  <si>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</si>
  <si>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</si>
  <si>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</si>
  <si>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</si>
  <si>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</si>
  <si>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</si>
  <si>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</si>
  <si>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</si>
  <si>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</si>
  <si>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</si>
  <si>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</si>
  <si>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</si>
  <si>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</si>
  <si>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</si>
  <si>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</si>
  <si>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</si>
  <si>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</si>
  <si>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</si>
  <si>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</si>
  <si>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</si>
  <si>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</si>
  <si>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</si>
  <si>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</si>
  <si>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</si>
  <si>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</si>
  <si>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</si>
  <si>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</si>
  <si>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</si>
  <si>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</si>
  <si>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</si>
  <si>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</si>
  <si>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</si>
  <si>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</si>
  <si>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</si>
  <si>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</si>
  <si>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</si>
  <si>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</si>
  <si>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</si>
  <si>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</si>
  <si>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</si>
  <si>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</si>
  <si>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</si>
  <si>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</si>
  <si>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</si>
  <si>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</si>
  <si>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</si>
  <si>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</si>
  <si>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</si>
  <si>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</si>
  <si>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</si>
  <si>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</si>
  <si>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</si>
  <si>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</si>
  <si>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</si>
  <si>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</si>
  <si>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</si>
  <si>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</si>
  <si>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</si>
  <si>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</si>
  <si>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</si>
  <si>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</si>
  <si>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</si>
  <si>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</si>
  <si>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</si>
  <si>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</si>
  <si>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</si>
  <si>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</si>
  <si>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</si>
  <si>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</si>
  <si>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</si>
  <si>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</si>
  <si>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</si>
  <si>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</si>
  <si>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</si>
  <si>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</si>
  <si>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</si>
  <si>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</si>
  <si>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</si>
  <si>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</si>
  <si>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</si>
  <si>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</si>
  <si>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</si>
  <si>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</si>
  <si>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</si>
  <si>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</si>
  <si>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</si>
  <si>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</si>
  <si>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</si>
  <si>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</si>
  <si>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</si>
  <si>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</si>
  <si>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</si>
  <si>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</si>
  <si>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</si>
  <si>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</si>
  <si>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</si>
  <si>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</si>
  <si>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</si>
  <si>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</si>
  <si>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</si>
  <si>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</si>
  <si>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</si>
  <si>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</si>
  <si>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</si>
  <si>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</si>
  <si>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</si>
  <si>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</si>
  <si>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</si>
  <si>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</si>
  <si>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</si>
  <si>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</si>
  <si>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</si>
  <si>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</si>
  <si>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</si>
  <si>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</si>
  <si>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</si>
  <si>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</si>
  <si>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</si>
  <si>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</si>
  <si>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</si>
  <si>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</si>
  <si>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</si>
  <si>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</si>
  <si>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</si>
  <si>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</si>
  <si>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</si>
  <si>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</si>
  <si>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</si>
  <si>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</si>
  <si>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</si>
  <si>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</si>
  <si>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</si>
  <si>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</si>
  <si>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</si>
  <si>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</si>
  <si>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</si>
  <si>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</si>
  <si>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</si>
  <si>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</si>
  <si>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</si>
  <si>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</si>
  <si>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</si>
  <si>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</si>
  <si>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</si>
  <si>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</si>
  <si>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</si>
  <si>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</si>
  <si>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</si>
  <si>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</si>
  <si>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</si>
  <si>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</si>
  <si>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</si>
  <si>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</si>
  <si>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</si>
  <si>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</si>
  <si>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</si>
  <si>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</si>
  <si>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</si>
  <si>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</si>
  <si>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</si>
  <si>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</si>
  <si>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</si>
  <si>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</si>
  <si>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</si>
  <si>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</si>
  <si>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</si>
  <si>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</si>
  <si>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</si>
  <si>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</si>
  <si>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</si>
  <si>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</si>
  <si>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</si>
  <si>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</si>
  <si>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</si>
  <si>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</si>
  <si>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</si>
  <si>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</si>
  <si>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</si>
  <si>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</si>
  <si>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</si>
  <si>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</si>
  <si>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</si>
  <si>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</si>
  <si>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</si>
  <si>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</si>
  <si>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</si>
  <si>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</si>
  <si>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</si>
  <si>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</si>
  <si>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</si>
  <si>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</si>
  <si>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</si>
  <si>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</si>
  <si>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</si>
  <si>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</si>
  <si>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</si>
  <si>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</si>
  <si>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</si>
  <si>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</si>
  <si>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</si>
  <si>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</si>
  <si>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</si>
  <si>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</si>
  <si>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</si>
  <si>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</si>
  <si>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</si>
  <si>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</si>
  <si>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</si>
  <si>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</si>
  <si>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</si>
  <si>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</si>
  <si>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</si>
  <si>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</si>
  <si>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</si>
  <si>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</si>
  <si>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</si>
  <si>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</si>
  <si>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</si>
  <si>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</si>
  <si>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</si>
  <si>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</si>
  <si>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</si>
  <si>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</si>
  <si>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</si>
  <si>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</si>
  <si>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</si>
  <si>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</si>
  <si>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</si>
  <si>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</si>
  <si>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</si>
  <si>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</si>
  <si>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</si>
  <si>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</si>
  <si>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</si>
  <si>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</si>
  <si>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</si>
  <si>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</si>
  <si>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</si>
  <si>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</si>
  <si>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</si>
  <si>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</si>
  <si>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</si>
  <si>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</si>
  <si>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</si>
  <si>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</si>
  <si>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</si>
  <si>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</si>
  <si>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</si>
  <si>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</si>
  <si>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</si>
  <si>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</si>
  <si>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</si>
  <si>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</si>
  <si>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</si>
  <si>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</si>
  <si>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</si>
  <si>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</si>
  <si>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</si>
  <si>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</si>
  <si>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</si>
  <si>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</si>
  <si>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</si>
  <si>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</si>
  <si>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</si>
  <si>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</si>
  <si>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</si>
  <si>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</si>
  <si>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</si>
  <si>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</si>
  <si>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</si>
  <si>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</si>
  <si>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</si>
  <si>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</si>
  <si>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</si>
  <si>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</si>
  <si>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</si>
  <si>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</si>
  <si>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</si>
  <si>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</si>
  <si>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</si>
  <si>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</si>
  <si>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</si>
  <si>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</si>
  <si>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</si>
  <si>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</si>
  <si>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</si>
  <si>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</si>
  <si>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</si>
  <si>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</si>
  <si>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</si>
  <si>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</si>
  <si>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</si>
  <si>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</si>
  <si>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</si>
  <si>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</si>
  <si>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</si>
  <si>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</si>
  <si>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</si>
  <si>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</si>
  <si>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</si>
  <si>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</si>
  <si>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</si>
  <si>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</si>
  <si>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</si>
  <si>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</si>
  <si>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</si>
  <si>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</si>
  <si>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</si>
  <si>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</si>
  <si>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</si>
  <si>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</si>
  <si>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</si>
  <si>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</si>
  <si>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</si>
  <si>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</si>
  <si>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</si>
  <si>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</si>
  <si>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</si>
  <si>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</si>
  <si>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</si>
  <si>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</si>
  <si>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</si>
  <si>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</si>
  <si>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</si>
  <si>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</si>
  <si>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</si>
  <si>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</si>
  <si>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</si>
  <si>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</si>
  <si>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</si>
  <si>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</si>
  <si>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</si>
  <si>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</si>
  <si>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</si>
  <si>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</si>
  <si>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</si>
  <si>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</si>
  <si>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</si>
  <si>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</si>
  <si>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</si>
  <si>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</si>
  <si>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</si>
  <si>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</si>
  <si>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</si>
  <si>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</si>
  <si>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</si>
  <si>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</si>
  <si>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</si>
  <si>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</si>
  <si>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</si>
  <si>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</si>
  <si>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</si>
  <si>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</si>
  <si>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</si>
  <si>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</si>
  <si>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</si>
  <si>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</si>
  <si>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</si>
  <si>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</si>
  <si>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</si>
  <si>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</si>
  <si>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</si>
  <si>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</si>
  <si>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</si>
  <si>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</si>
  <si>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</si>
  <si>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</si>
  <si>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</si>
  <si>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</si>
  <si>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</si>
  <si>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</si>
  <si>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</si>
  <si>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</si>
  <si>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</si>
  <si>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</si>
  <si>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</si>
  <si>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</si>
  <si>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</si>
  <si>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</si>
  <si>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</si>
  <si>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</si>
  <si>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</si>
  <si>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</si>
  <si>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</si>
  <si>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</si>
  <si>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</si>
  <si>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</si>
  <si>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</si>
  <si>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</si>
  <si>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</si>
  <si>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</si>
  <si>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</si>
  <si>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</si>
  <si>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</si>
  <si>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</si>
  <si>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</si>
  <si>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</si>
  <si>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</si>
  <si>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</si>
  <si>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</si>
  <si>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</si>
  <si>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</si>
  <si>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</si>
  <si>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</si>
  <si>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</si>
  <si>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</si>
  <si>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</si>
  <si>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</si>
  <si>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</si>
  <si>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</si>
  <si>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</si>
  <si>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</si>
  <si>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</si>
  <si>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</si>
  <si>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</si>
  <si>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</si>
  <si>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</si>
  <si>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</si>
  <si>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</si>
  <si>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</si>
  <si>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</si>
  <si>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</si>
  <si>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</si>
  <si>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</si>
  <si>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</si>
  <si>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</si>
  <si>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</si>
  <si>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</si>
  <si>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</si>
  <si>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</si>
  <si>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</si>
  <si>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</si>
  <si>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</si>
  <si>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</si>
  <si>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</si>
  <si>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</si>
  <si>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</si>
  <si>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</si>
  <si>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</si>
  <si>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</si>
  <si>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</si>
  <si>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</si>
  <si>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</si>
  <si>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</si>
  <si>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</si>
  <si>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</si>
  <si>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</si>
  <si>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</si>
  <si>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</si>
  <si>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</si>
  <si>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</si>
  <si>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</si>
  <si>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</si>
  <si>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</si>
  <si>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</si>
  <si>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</si>
  <si>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</si>
  <si>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</si>
  <si>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</si>
  <si>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</si>
  <si>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</si>
  <si>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</si>
  <si>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</si>
  <si>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</si>
  <si>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</si>
  <si>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</si>
  <si>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</si>
  <si>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</si>
  <si>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</si>
  <si>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</si>
  <si>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</si>
  <si>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</si>
  <si>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</si>
  <si>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</si>
  <si>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</si>
  <si>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</si>
  <si>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</si>
  <si>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</si>
  <si>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</si>
  <si>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</si>
  <si>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</si>
  <si>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</si>
  <si>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</si>
  <si>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</si>
  <si>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</si>
  <si>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</si>
  <si>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</si>
  <si>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</si>
  <si>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</si>
  <si>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</si>
  <si>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</si>
  <si>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</si>
  <si>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</si>
  <si>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</si>
  <si>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</si>
  <si>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</si>
  <si>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</si>
  <si>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</si>
  <si>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</si>
  <si>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</si>
  <si>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</si>
  <si>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</si>
  <si>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</si>
  <si>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</si>
  <si>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</si>
  <si>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</si>
  <si>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</si>
  <si>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</si>
  <si>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</si>
  <si>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</si>
  <si>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</si>
  <si>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</si>
  <si>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</si>
  <si>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</si>
  <si>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</si>
  <si>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</si>
  <si>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</si>
  <si>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</si>
  <si>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</si>
  <si>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</si>
  <si>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</si>
  <si>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</si>
  <si>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</si>
  <si>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</si>
  <si>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</si>
  <si>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</si>
  <si>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</si>
  <si>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</si>
  <si>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</si>
  <si>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</si>
  <si>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</si>
  <si>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</si>
  <si>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</si>
  <si>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</si>
  <si>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</si>
  <si>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</si>
  <si>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</si>
  <si>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</si>
  <si>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</si>
  <si>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</si>
  <si>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</si>
  <si>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</si>
  <si>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</si>
  <si>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</si>
  <si>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</si>
  <si>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</si>
  <si>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</si>
  <si>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</si>
  <si>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</si>
  <si>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</si>
  <si>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</si>
  <si>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</si>
  <si>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</si>
  <si>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</si>
  <si>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</si>
  <si>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</si>
  <si>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</si>
  <si>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</si>
  <si>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</si>
  <si>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</si>
  <si>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</si>
  <si>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</si>
  <si>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</si>
  <si>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</si>
  <si>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</si>
  <si>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</si>
  <si>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</si>
  <si>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</si>
  <si>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</si>
  <si>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</si>
  <si>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</si>
  <si>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</si>
  <si>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</si>
  <si>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</si>
  <si>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</si>
  <si>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</si>
  <si>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</si>
  <si>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</si>
  <si>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</si>
  <si>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</si>
  <si>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</si>
  <si>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</si>
  <si>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</si>
  <si>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</si>
  <si>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</si>
  <si>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</si>
  <si>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</si>
  <si>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</si>
  <si>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</si>
  <si>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</si>
  <si>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</si>
  <si>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</si>
  <si>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</si>
  <si>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</si>
  <si>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</si>
  <si>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</si>
  <si>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</si>
  <si>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</si>
  <si>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</si>
  <si>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</si>
  <si>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</si>
  <si>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</si>
  <si>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</si>
  <si>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</si>
  <si>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</si>
  <si>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</si>
  <si>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</si>
  <si>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</si>
  <si>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</si>
  <si>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</si>
  <si>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</si>
  <si>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</si>
  <si>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</si>
  <si>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</si>
  <si>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</si>
  <si>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</si>
  <si>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</si>
  <si>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</si>
  <si>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</si>
  <si>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</si>
  <si>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</si>
  <si>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</si>
  <si>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</si>
  <si>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</si>
  <si>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</si>
  <si>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</si>
  <si>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</si>
  <si>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</si>
  <si>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</si>
  <si>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</si>
  <si>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</si>
  <si>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</si>
  <si>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</si>
  <si>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</si>
  <si>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</si>
  <si>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</si>
  <si>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</si>
  <si>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</si>
  <si>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</si>
  <si>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</si>
  <si>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</si>
  <si>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</si>
  <si>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</si>
  <si>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</si>
  <si>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</si>
  <si>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</si>
  <si>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</si>
  <si>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</si>
  <si>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</si>
  <si>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</si>
  <si>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</si>
  <si>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</si>
  <si>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</si>
  <si>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</si>
  <si>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</si>
  <si>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</si>
  <si>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</si>
  <si>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</si>
  <si>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</si>
  <si>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</si>
  <si>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</si>
  <si>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</si>
  <si>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</si>
  <si>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</si>
  <si>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</si>
  <si>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</si>
  <si>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</si>
  <si>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</si>
  <si>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</si>
  <si>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</si>
  <si>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</si>
  <si>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</si>
  <si>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</si>
  <si>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</si>
  <si>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</si>
  <si>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</si>
  <si>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</si>
  <si>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</si>
  <si>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</si>
  <si>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</si>
  <si>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</si>
  <si>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</si>
  <si>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</si>
  <si>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</si>
  <si>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</si>
  <si>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</si>
  <si>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</si>
  <si>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</si>
  <si>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</si>
  <si>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</si>
  <si>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</si>
  <si>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</si>
  <si>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</si>
  <si>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</si>
  <si>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</si>
  <si>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</si>
  <si>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</si>
  <si>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</si>
  <si>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</si>
  <si>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</si>
  <si>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</si>
  <si>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</si>
  <si>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</si>
  <si>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</si>
  <si>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</si>
  <si>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</si>
  <si>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</si>
  <si>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</si>
  <si>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</si>
  <si>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</si>
  <si>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</si>
  <si>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</si>
  <si>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</si>
  <si>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</si>
  <si>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</si>
  <si>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</si>
  <si>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</si>
  <si>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</si>
  <si>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</si>
  <si>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</si>
  <si>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</si>
  <si>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</si>
  <si>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</si>
  <si>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</si>
  <si>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</si>
  <si>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</si>
  <si>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</si>
  <si>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</si>
  <si>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</si>
  <si>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</si>
  <si>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</si>
  <si>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</si>
  <si>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</si>
  <si>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</si>
  <si>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</si>
  <si>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</si>
  <si>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</si>
  <si>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</si>
  <si>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</si>
  <si>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</si>
  <si>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</si>
  <si>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</si>
  <si>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</si>
  <si>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</si>
  <si>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</si>
  <si>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</si>
  <si>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</si>
  <si>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</si>
  <si>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</si>
  <si>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</si>
  <si>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</si>
  <si>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</si>
  <si>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</si>
  <si>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</si>
  <si>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</si>
  <si>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</si>
  <si>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</si>
  <si>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</si>
  <si>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</si>
  <si>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</si>
  <si>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</si>
  <si>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</si>
  <si>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</si>
  <si>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</si>
  <si>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</si>
  <si>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</si>
  <si>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</si>
  <si>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</si>
  <si>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</si>
  <si>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</si>
  <si>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</si>
  <si>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</si>
  <si>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</si>
  <si>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</si>
  <si>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</si>
  <si>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</si>
  <si>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</si>
  <si>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</si>
  <si>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</si>
  <si>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</si>
  <si>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</si>
  <si>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</si>
  <si>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</si>
  <si>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</si>
  <si>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</si>
  <si>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</si>
  <si>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</si>
  <si>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</si>
  <si>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</si>
  <si>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</si>
  <si>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</si>
  <si>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</si>
  <si>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</si>
  <si>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</si>
  <si>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</si>
  <si>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</si>
  <si>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</si>
  <si>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</si>
  <si>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</si>
  <si>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</si>
  <si>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</si>
  <si>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</si>
  <si>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</si>
  <si>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</si>
  <si>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</si>
  <si>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</si>
  <si>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</si>
  <si>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</si>
  <si>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</si>
  <si>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</si>
  <si>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</si>
  <si>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</si>
  <si>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</si>
  <si>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</si>
  <si>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</si>
  <si>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</si>
  <si>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</si>
  <si>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</si>
  <si>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</si>
  <si>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</si>
  <si>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</si>
  <si>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</si>
  <si>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</si>
  <si>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</si>
  <si>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</si>
  <si>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</si>
  <si>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</si>
  <si>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</si>
  <si>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</si>
  <si>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</si>
  <si>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</si>
  <si>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</si>
  <si>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</si>
  <si>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</si>
  <si>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</si>
  <si>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</si>
  <si>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</si>
  <si>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</si>
  <si>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</si>
  <si>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</si>
  <si>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</si>
  <si>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</si>
  <si>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</si>
  <si>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</si>
  <si>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</si>
  <si>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</si>
  <si>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</si>
  <si>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</si>
  <si>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</si>
  <si>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</si>
  <si>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</si>
  <si>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</si>
  <si>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</si>
  <si>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</si>
  <si>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</si>
  <si>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</si>
  <si>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</si>
  <si>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</si>
  <si>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</si>
  <si>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</si>
  <si>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</si>
  <si>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</si>
  <si>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</si>
  <si>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</si>
  <si>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</si>
  <si>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</si>
  <si>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</si>
  <si>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</si>
  <si>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</si>
  <si>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</si>
  <si>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</si>
  <si>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</si>
  <si>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</si>
  <si>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</si>
  <si>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</si>
  <si>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</si>
  <si>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</si>
  <si>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</si>
  <si>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</si>
  <si>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</si>
  <si>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</si>
  <si>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</si>
  <si>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</si>
  <si>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</si>
  <si>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</si>
  <si>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</si>
  <si>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</si>
  <si>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</si>
  <si>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</si>
  <si>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</si>
  <si>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</si>
  <si>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</si>
  <si>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</si>
  <si>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</si>
  <si>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</si>
  <si>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</si>
  <si>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</si>
  <si>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</si>
  <si>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</si>
  <si>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</si>
  <si>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</si>
  <si>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</si>
  <si>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</si>
  <si>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</si>
  <si>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</si>
  <si>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</si>
  <si>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</si>
  <si>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</si>
  <si>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</si>
  <si>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</si>
  <si>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</si>
  <si>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</si>
  <si>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</si>
  <si>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</si>
  <si>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</si>
  <si>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</si>
  <si>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</si>
  <si>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</si>
  <si>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</si>
  <si>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</si>
  <si>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</si>
  <si>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</si>
  <si>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</si>
  <si>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</si>
  <si>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</si>
  <si>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</si>
  <si>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</si>
  <si>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</si>
  <si>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</si>
  <si>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</si>
  <si>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</si>
  <si>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</si>
  <si>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</si>
  <si>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</si>
  <si>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</si>
  <si>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</si>
  <si>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</si>
  <si>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</si>
  <si>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</si>
  <si>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</si>
  <si>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</si>
  <si>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</si>
  <si>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</si>
  <si>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</si>
  <si>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</si>
  <si>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</si>
  <si>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</si>
  <si>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</si>
  <si>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</si>
  <si>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</si>
  <si>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</si>
  <si>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</si>
  <si>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</si>
  <si>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</si>
  <si>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</si>
  <si>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</si>
  <si>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</si>
  <si>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</si>
  <si>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</si>
  <si>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</si>
  <si>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</si>
  <si>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</si>
  <si>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</si>
  <si>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</si>
  <si>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</si>
  <si>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</si>
  <si>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</si>
  <si>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</si>
  <si>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</si>
  <si>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</si>
  <si>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</si>
  <si>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</si>
  <si>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</si>
  <si>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</si>
  <si>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</si>
  <si>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</si>
  <si>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</si>
  <si>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</si>
  <si>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</si>
  <si>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</si>
  <si>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</si>
  <si>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</si>
  <si>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</si>
  <si>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</si>
  <si>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</si>
  <si>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</si>
  <si>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</si>
  <si>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</si>
  <si>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</si>
  <si>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</si>
  <si>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</si>
  <si>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</si>
  <si>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</si>
  <si>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</si>
  <si>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</si>
  <si>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</si>
  <si>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</si>
  <si>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</si>
  <si>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</si>
  <si>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</si>
  <si>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</si>
  <si>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</si>
  <si>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</si>
  <si>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</si>
  <si>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</si>
  <si>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</si>
  <si>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</si>
  <si>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</si>
  <si>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</si>
  <si>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</si>
  <si>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</si>
  <si>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</si>
  <si>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</si>
  <si>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</si>
  <si>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</si>
  <si>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</si>
  <si>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</si>
  <si>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</si>
  <si>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</si>
  <si>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</si>
  <si>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</si>
  <si>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</si>
  <si>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</si>
  <si>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</si>
  <si>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</si>
  <si>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</si>
  <si>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</si>
  <si>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</si>
  <si>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</si>
  <si>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</si>
  <si>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</si>
  <si>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</si>
  <si>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</si>
  <si>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</si>
  <si>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</si>
  <si>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</si>
  <si>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</si>
  <si>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</si>
  <si>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</si>
  <si>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</si>
  <si>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</si>
  <si>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</si>
  <si>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</si>
  <si>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</si>
  <si>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</si>
  <si>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</si>
  <si>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</si>
  <si>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</si>
  <si>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</si>
  <si>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</si>
  <si>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</si>
  <si>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</si>
  <si>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</si>
  <si>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</si>
  <si>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</si>
  <si>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</si>
  <si>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</si>
  <si>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</si>
  <si>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</si>
  <si>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</si>
  <si>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</si>
  <si>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</si>
  <si>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</si>
  <si>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</si>
  <si>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</si>
  <si>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</si>
  <si>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</si>
  <si>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</si>
  <si>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</si>
  <si>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</si>
  <si>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</si>
  <si>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</si>
  <si>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</si>
  <si>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</si>
  <si>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</si>
  <si>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</si>
  <si>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</si>
  <si>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</si>
  <si>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</si>
  <si>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</si>
  <si>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</si>
  <si>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</si>
  <si>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</si>
  <si>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</si>
  <si>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</si>
  <si>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</si>
  <si>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</si>
  <si>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</si>
  <si>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</si>
  <si>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</si>
  <si>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</si>
  <si>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</si>
  <si>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</si>
  <si>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</si>
  <si>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</si>
  <si>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</si>
  <si>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</si>
  <si>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</si>
  <si>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</si>
  <si>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</si>
  <si>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</si>
  <si>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</si>
  <si>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</si>
  <si>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</si>
  <si>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</si>
  <si>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</si>
  <si>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</si>
  <si>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</si>
  <si>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</si>
  <si>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</si>
  <si>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</si>
  <si>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</si>
  <si>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</si>
  <si>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</si>
  <si>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</si>
  <si>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</si>
  <si>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</si>
  <si>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</si>
  <si>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</si>
  <si>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</si>
  <si>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</si>
  <si>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</si>
  <si>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</si>
  <si>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</si>
  <si>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</si>
  <si>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</si>
  <si>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</si>
  <si>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</si>
  <si>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</si>
  <si>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</si>
  <si>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</si>
  <si>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</si>
  <si>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</si>
  <si>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</si>
  <si>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</si>
  <si>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</si>
  <si>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</si>
  <si>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</si>
  <si>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</si>
  <si>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</si>
  <si>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</si>
  <si>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</si>
  <si>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</si>
  <si>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</si>
  <si>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</si>
  <si>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</si>
  <si>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</si>
  <si>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</si>
  <si>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</si>
  <si>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</si>
  <si>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</si>
  <si>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</si>
  <si>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</si>
  <si>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</si>
  <si>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</si>
  <si>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</si>
  <si>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</si>
  <si>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</si>
  <si>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</si>
  <si>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</si>
  <si>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</si>
  <si>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</si>
  <si>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</si>
  <si>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</si>
  <si>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</si>
  <si>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</si>
  <si>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</si>
  <si>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</si>
  <si>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</si>
  <si>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</si>
  <si>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</si>
  <si>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</si>
  <si>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</si>
  <si>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</si>
  <si>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</si>
  <si>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</si>
  <si>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</si>
  <si>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</si>
  <si>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</si>
  <si>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</si>
  <si>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</si>
  <si>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</si>
  <si>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</si>
  <si>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</si>
  <si>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</si>
  <si>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</si>
  <si>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</si>
  <si>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</si>
  <si>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</si>
  <si>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</si>
  <si>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</si>
  <si>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</si>
  <si>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</si>
  <si>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</si>
  <si>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</si>
  <si>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</si>
  <si>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</si>
  <si>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</si>
  <si>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</si>
  <si>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</si>
  <si>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</si>
  <si>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</si>
  <si>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</si>
  <si>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</si>
  <si>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</si>
  <si>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</si>
  <si>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</si>
  <si>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</si>
  <si>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</si>
  <si>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</si>
  <si>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</si>
  <si>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</si>
  <si>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</si>
  <si>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</si>
  <si>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</si>
  <si>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</si>
  <si>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</si>
  <si>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</si>
  <si>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</si>
  <si>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</si>
  <si>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</si>
  <si>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</si>
  <si>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</si>
  <si>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</si>
  <si>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</si>
  <si>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</si>
  <si>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</si>
  <si>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</si>
  <si>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</si>
  <si>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</si>
  <si>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</si>
  <si>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</si>
  <si>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</si>
  <si>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</si>
  <si>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</si>
  <si>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</si>
  <si>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</si>
  <si>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</si>
  <si>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</si>
  <si>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</si>
  <si>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</si>
  <si>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</si>
  <si>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</si>
  <si>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</si>
  <si>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</si>
  <si>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</si>
  <si>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</si>
  <si>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</si>
  <si>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</si>
  <si>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</si>
  <si>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</si>
  <si>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</si>
  <si>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</si>
  <si>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</si>
  <si>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</si>
  <si>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</si>
  <si>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</si>
  <si>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</si>
  <si>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</si>
  <si>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</si>
  <si>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</si>
  <si>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</si>
  <si>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</si>
  <si>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</si>
  <si>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</si>
  <si>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</si>
  <si>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</si>
  <si>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</si>
  <si>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</si>
  <si>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</si>
  <si>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</si>
  <si>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</si>
  <si>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</si>
  <si>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</si>
  <si>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</si>
  <si>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</si>
  <si>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</si>
  <si>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</si>
  <si>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</si>
  <si>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</si>
  <si>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</si>
  <si>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</si>
  <si>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</si>
  <si>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</si>
  <si>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</si>
  <si>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</si>
  <si>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</si>
  <si>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</si>
  <si>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</si>
  <si>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</si>
  <si>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</si>
  <si>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</si>
  <si>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</si>
  <si>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</si>
  <si>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</si>
  <si>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</si>
  <si>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</si>
  <si>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</si>
  <si>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</si>
  <si>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</si>
  <si>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</si>
  <si>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</si>
  <si>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</si>
  <si>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</si>
  <si>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</si>
  <si>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</si>
  <si>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</si>
  <si>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</si>
  <si>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</si>
  <si>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</si>
  <si>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</si>
  <si>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</si>
  <si>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</si>
  <si>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</si>
  <si>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</si>
  <si>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</si>
  <si>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</si>
  <si>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</si>
  <si>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</si>
  <si>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</si>
  <si>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</si>
  <si>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</si>
  <si>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</si>
  <si>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</si>
  <si>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</si>
  <si>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</si>
  <si>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</si>
  <si>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</si>
  <si>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</si>
  <si>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</si>
  <si>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</si>
  <si>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</si>
  <si>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</si>
  <si>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</si>
  <si>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</si>
  <si>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</si>
  <si>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</si>
  <si>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</si>
  <si>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</si>
  <si>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</si>
  <si>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</si>
  <si>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</si>
  <si>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</si>
  <si>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</si>
  <si>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</si>
  <si>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</si>
  <si>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</si>
  <si>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</si>
  <si>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</si>
  <si>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</si>
  <si>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</si>
  <si>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</si>
  <si>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</si>
  <si>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</si>
  <si>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</si>
  <si>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</si>
  <si>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</si>
  <si>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</si>
  <si>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</si>
  <si>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</si>
  <si>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</si>
  <si>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</si>
  <si>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</si>
  <si>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</si>
  <si>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</si>
  <si>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</si>
  <si>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</si>
  <si>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</si>
  <si>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</si>
  <si>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</si>
  <si>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</si>
  <si>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</si>
  <si>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</si>
  <si>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</si>
  <si>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</si>
  <si>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</si>
  <si>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</si>
  <si>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</si>
  <si>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</si>
  <si>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</si>
  <si>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</si>
  <si>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</si>
  <si>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</si>
  <si>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</si>
  <si>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</si>
  <si>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</si>
  <si>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</si>
  <si>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</si>
  <si>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</si>
  <si>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</si>
  <si>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</si>
  <si>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</si>
  <si>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</si>
  <si>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</si>
  <si>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</si>
  <si>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</si>
  <si>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</si>
  <si>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</si>
  <si>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</si>
  <si>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</si>
  <si>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</si>
  <si>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</si>
  <si>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</si>
  <si>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</si>
  <si>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</si>
  <si>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</si>
  <si>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</si>
  <si>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</si>
  <si>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</si>
  <si>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</si>
  <si>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</si>
  <si>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</si>
  <si>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</si>
  <si>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</si>
  <si>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</si>
  <si>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</si>
  <si>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</si>
  <si>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</si>
  <si>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</si>
  <si>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</si>
  <si>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</si>
  <si>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</si>
  <si>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</si>
  <si>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</si>
  <si>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</si>
  <si>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</si>
  <si>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</si>
  <si>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</si>
  <si>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</si>
  <si>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</si>
  <si>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</si>
  <si>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</si>
  <si>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</si>
  <si>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</si>
  <si>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</si>
  <si>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</si>
  <si>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</si>
  <si>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</si>
  <si>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</si>
  <si>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</si>
  <si>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</si>
  <si>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</si>
  <si>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</si>
  <si>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</si>
  <si>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</si>
  <si>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</si>
  <si>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</si>
  <si>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</si>
  <si>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</si>
  <si>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</si>
  <si>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</si>
  <si>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</si>
  <si>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</si>
  <si>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</si>
  <si>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</si>
  <si>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</si>
  <si>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</si>
  <si>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</si>
  <si>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</si>
  <si>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</si>
  <si>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</si>
  <si>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</si>
  <si>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</si>
  <si>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</si>
  <si>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</si>
  <si>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</si>
  <si>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</si>
  <si>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</si>
  <si>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</si>
  <si>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</si>
  <si>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</si>
  <si>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</si>
  <si>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</si>
  <si>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</si>
  <si>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</si>
  <si>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</si>
  <si>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</si>
  <si>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</si>
  <si>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</si>
  <si>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</si>
  <si>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</si>
  <si>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</si>
  <si>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</si>
  <si>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</si>
  <si>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</si>
  <si>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</si>
  <si>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</si>
  <si>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</si>
  <si>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</si>
  <si>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</si>
  <si>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</si>
  <si>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</si>
  <si>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</si>
  <si>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</si>
  <si>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</si>
  <si>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</si>
  <si>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</si>
  <si>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</si>
  <si>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</si>
  <si>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</si>
  <si>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</si>
  <si>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</si>
  <si>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</si>
  <si>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</si>
  <si>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</si>
  <si>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</si>
  <si>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</si>
  <si>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</si>
  <si>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</si>
  <si>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</si>
  <si>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</si>
  <si>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</si>
  <si>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</si>
  <si>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</si>
  <si>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</si>
  <si>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</si>
  <si>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</si>
  <si>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</si>
  <si>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</si>
  <si>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</si>
  <si>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</si>
  <si>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</si>
  <si>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</si>
  <si>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</si>
  <si>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</si>
  <si>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</si>
  <si>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</si>
  <si>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</si>
  <si>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</si>
  <si>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</si>
  <si>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</si>
  <si>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</si>
  <si>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</si>
  <si>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</si>
  <si>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</si>
  <si>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</si>
  <si>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</si>
  <si>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</si>
  <si>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</si>
  <si>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</si>
  <si>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</si>
  <si>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</si>
  <si>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</si>
  <si>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</si>
  <si>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</si>
  <si>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</si>
  <si>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</si>
  <si>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</si>
  <si>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</si>
  <si>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</si>
  <si>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</si>
  <si>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</si>
  <si>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</si>
  <si>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</si>
  <si>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</si>
  <si>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</si>
  <si>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</si>
  <si>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</si>
  <si>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</si>
  <si>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</si>
  <si>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</si>
  <si>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</si>
  <si>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</si>
  <si>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</si>
  <si>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</si>
  <si>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</si>
  <si>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</si>
  <si>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</si>
  <si>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</si>
  <si>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</si>
  <si>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</si>
  <si>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</si>
  <si>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</si>
  <si>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</si>
  <si>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</si>
  <si>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</si>
  <si>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</si>
  <si>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</si>
  <si>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</si>
  <si>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</si>
  <si>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</si>
  <si>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</si>
  <si>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</si>
  <si>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</si>
  <si>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</si>
  <si>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</si>
  <si>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</si>
  <si>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</si>
  <si>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</si>
  <si>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</si>
  <si>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</si>
  <si>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</si>
  <si>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</si>
  <si>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</si>
  <si>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</si>
  <si>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</si>
  <si>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</si>
  <si>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</si>
  <si>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</si>
  <si>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</si>
  <si>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</si>
  <si>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</si>
  <si>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</si>
  <si>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</si>
  <si>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</si>
  <si>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</si>
  <si>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</si>
  <si>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</si>
  <si>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</si>
  <si>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</si>
  <si>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</si>
  <si>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</si>
  <si>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</si>
  <si>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</si>
  <si>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</si>
  <si>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</si>
  <si>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</si>
  <si>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</si>
  <si>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</si>
  <si>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</si>
  <si>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</si>
  <si>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</si>
  <si>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</si>
  <si>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</si>
  <si>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</si>
  <si>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</si>
  <si>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</si>
  <si>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</si>
  <si>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</si>
  <si>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</si>
  <si>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</si>
  <si>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</si>
  <si>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</si>
  <si>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</si>
  <si>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</si>
  <si>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</si>
  <si>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</si>
  <si>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</si>
  <si>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</si>
  <si>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</si>
  <si>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</si>
  <si>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</si>
  <si>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</si>
  <si>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</si>
  <si>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</si>
  <si>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</si>
  <si>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</si>
  <si>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</si>
  <si>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</si>
  <si>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</si>
  <si>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</si>
  <si>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</si>
  <si>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</si>
  <si>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</si>
  <si>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</si>
  <si>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</si>
  <si>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</si>
  <si>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</si>
  <si>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</si>
  <si>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</si>
  <si>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</si>
  <si>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</si>
  <si>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</si>
  <si>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</si>
  <si>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</si>
  <si>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</si>
  <si>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</si>
  <si>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</si>
  <si>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</si>
  <si>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</si>
  <si>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</si>
  <si>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</si>
  <si>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</si>
  <si>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</si>
  <si>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</si>
  <si>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</si>
  <si>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</si>
  <si>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</si>
  <si>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</si>
  <si>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</si>
  <si>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</si>
  <si>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</si>
  <si>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</si>
  <si>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</si>
  <si>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</si>
  <si>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</si>
  <si>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</si>
  <si>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</si>
  <si>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</si>
  <si>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</si>
  <si>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</si>
  <si>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</si>
  <si>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</si>
  <si>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</si>
  <si>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</si>
  <si>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</si>
  <si>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</si>
  <si>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</si>
  <si>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</si>
  <si>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</si>
  <si>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</si>
  <si>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</si>
  <si>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</si>
  <si>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</si>
  <si>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</si>
  <si>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</si>
  <si>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</si>
  <si>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</si>
  <si>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</si>
  <si>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</si>
  <si>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</si>
  <si>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</si>
  <si>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</si>
  <si>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</si>
  <si>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</si>
  <si>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</si>
  <si>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</si>
  <si>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</si>
  <si>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</si>
  <si>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</si>
  <si>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</si>
  <si>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</si>
  <si>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</si>
  <si>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</si>
  <si>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</si>
  <si>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</si>
  <si>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</si>
  <si>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</si>
  <si>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</si>
  <si>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</si>
  <si>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</si>
  <si>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</si>
  <si>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</si>
  <si>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</si>
  <si>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</si>
  <si>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</si>
  <si>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</si>
  <si>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</si>
  <si>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</si>
  <si>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</si>
  <si>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</si>
  <si>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</si>
  <si>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</si>
  <si>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</si>
  <si>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</si>
  <si>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</si>
  <si>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</si>
  <si>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</si>
  <si>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</si>
  <si>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</si>
  <si>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</si>
  <si>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</si>
  <si>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</si>
  <si>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</si>
  <si>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</si>
  <si>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</si>
  <si>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</si>
  <si>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</si>
  <si>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</si>
  <si>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</si>
  <si>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</si>
  <si>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</si>
  <si>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</si>
  <si>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</si>
  <si>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</si>
  <si>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</si>
  <si>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</si>
  <si>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</si>
  <si>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</si>
  <si>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</si>
  <si>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</si>
  <si>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</si>
  <si>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</si>
  <si>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</si>
  <si>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</si>
  <si>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</si>
  <si>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</si>
  <si>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</si>
  <si>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</si>
  <si>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</si>
  <si>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</si>
  <si>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</si>
  <si>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</si>
  <si>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</si>
  <si>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</si>
  <si>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</si>
  <si>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</si>
  <si>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</si>
  <si>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</si>
  <si>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</si>
  <si>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</si>
  <si>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</si>
  <si>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</si>
  <si>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</si>
  <si>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</si>
  <si>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</si>
  <si>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</si>
  <si>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</si>
  <si>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</si>
  <si>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</si>
  <si>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</si>
  <si>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</si>
  <si>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</si>
  <si>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</si>
  <si>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</si>
  <si>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</si>
  <si>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</si>
  <si>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</si>
  <si>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</si>
  <si>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</si>
  <si>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</si>
  <si>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</si>
  <si>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</si>
  <si>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</si>
  <si>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</si>
  <si>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</si>
  <si>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</si>
  <si>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</si>
  <si>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</si>
  <si>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</si>
  <si>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</si>
  <si>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</si>
  <si>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</si>
  <si>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</si>
  <si>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</si>
  <si>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</si>
  <si>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</si>
  <si>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</si>
  <si>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</si>
  <si>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</si>
  <si>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</si>
  <si>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</si>
  <si>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</si>
  <si>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</si>
  <si>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</si>
  <si>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</si>
  <si>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</si>
  <si>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</si>
  <si>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</si>
  <si>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</si>
  <si>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</si>
  <si>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</si>
  <si>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</si>
  <si>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</si>
  <si>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</si>
  <si>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</si>
  <si>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</si>
  <si>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</si>
  <si>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</si>
  <si>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</si>
  <si>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</si>
  <si>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</si>
  <si>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</si>
  <si>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</si>
  <si>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</si>
  <si>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</si>
  <si>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</si>
  <si>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</si>
  <si>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</si>
  <si>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</si>
  <si>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</si>
  <si>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</si>
  <si>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</si>
  <si>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</si>
  <si>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</si>
  <si>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</si>
  <si>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</si>
  <si>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</si>
  <si>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</si>
  <si>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</si>
  <si>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</si>
  <si>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</si>
  <si>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</si>
  <si>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</si>
  <si>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</si>
  <si>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</si>
  <si>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</si>
  <si>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</si>
  <si>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</si>
  <si>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</si>
  <si>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</si>
  <si>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</si>
  <si>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</si>
  <si>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</si>
  <si>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</si>
  <si>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</si>
  <si>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</si>
  <si>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</si>
  <si>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</si>
  <si>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</si>
  <si>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</si>
  <si>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</si>
  <si>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</si>
  <si>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</si>
  <si>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</si>
  <si>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</si>
  <si>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</si>
  <si>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</si>
  <si>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</si>
  <si>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</si>
  <si>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</si>
  <si>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</si>
  <si>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</si>
  <si>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</si>
  <si>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</si>
  <si>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</si>
  <si>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</si>
  <si>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</si>
  <si>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</si>
  <si>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</si>
  <si>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</si>
  <si>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</si>
  <si>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</si>
  <si>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</si>
  <si>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</si>
  <si>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</si>
  <si>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</si>
  <si>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</si>
  <si>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</si>
  <si>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</si>
  <si>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</si>
  <si>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</si>
  <si>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</si>
  <si>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</si>
  <si>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</si>
  <si>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</si>
  <si>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</si>
  <si>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</si>
  <si>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</si>
  <si>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</si>
  <si>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</si>
  <si>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</si>
  <si>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</si>
  <si>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</si>
  <si>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</si>
  <si>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</si>
  <si>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</si>
  <si>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</si>
  <si>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</si>
  <si>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</si>
  <si>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</si>
  <si>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</si>
  <si>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</si>
  <si>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</si>
  <si>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</si>
  <si>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</si>
  <si>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</si>
  <si>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</si>
  <si>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</si>
  <si>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</si>
  <si>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</si>
  <si>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</si>
  <si>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</si>
  <si>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</si>
  <si>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</si>
  <si>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</si>
  <si>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</si>
  <si>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</si>
  <si>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</si>
  <si>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</si>
  <si>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</si>
  <si>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</si>
  <si>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</si>
  <si>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</si>
  <si>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</si>
  <si>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</si>
  <si>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</si>
  <si>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</si>
  <si>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</si>
  <si>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</si>
  <si>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</si>
  <si>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</si>
  <si>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</si>
  <si>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</si>
  <si>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</si>
  <si>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</si>
  <si>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</si>
  <si>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</si>
  <si>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</si>
  <si>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</si>
  <si>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</si>
  <si>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</si>
  <si>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</si>
  <si>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</si>
  <si>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</si>
  <si>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</si>
  <si>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</si>
  <si>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</si>
  <si>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</si>
  <si>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</si>
  <si>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</si>
  <si>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</si>
  <si>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</si>
  <si>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</si>
  <si>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</si>
  <si>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</si>
  <si>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</si>
  <si>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</si>
  <si>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</si>
  <si>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</si>
  <si>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</si>
  <si>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</si>
  <si>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</si>
  <si>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</si>
  <si>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</si>
  <si>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</si>
  <si>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</si>
  <si>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</si>
  <si>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</si>
  <si>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</si>
  <si>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</si>
  <si>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</si>
  <si>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</si>
  <si>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</si>
  <si>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</si>
  <si>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</si>
  <si>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</si>
  <si>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</si>
  <si>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</si>
  <si>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</si>
  <si>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</si>
  <si>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</si>
  <si>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</si>
  <si>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</si>
  <si>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</si>
  <si>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</si>
  <si>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</si>
  <si>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</si>
  <si>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</si>
  <si>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</si>
  <si>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</si>
  <si>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</si>
  <si>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</si>
  <si>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</si>
  <si>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</si>
  <si>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</si>
  <si>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</si>
  <si>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</si>
  <si>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</si>
  <si>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</si>
  <si>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</si>
  <si>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</si>
  <si>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</si>
  <si>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</si>
  <si>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</si>
  <si>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</si>
  <si>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</si>
  <si>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</si>
  <si>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</si>
  <si>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</si>
  <si>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</si>
  <si>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</si>
  <si>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</si>
  <si>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</si>
  <si>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</si>
  <si>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</si>
  <si>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</si>
  <si>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</si>
  <si>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</si>
  <si>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</si>
  <si>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</si>
  <si>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</si>
  <si>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</si>
  <si>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</si>
  <si>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</si>
  <si>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</si>
  <si>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</si>
  <si>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</si>
  <si>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</si>
  <si>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</si>
  <si>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</si>
  <si>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</si>
  <si>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</si>
  <si>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</si>
  <si>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</si>
  <si>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</si>
  <si>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</si>
  <si>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</si>
  <si>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</si>
  <si>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</si>
  <si>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</si>
  <si>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</si>
  <si>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</si>
  <si>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</si>
  <si>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</si>
  <si>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</si>
  <si>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</si>
  <si>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</si>
  <si>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</si>
  <si>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</si>
  <si>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</si>
  <si>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</si>
  <si>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</si>
  <si>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</si>
  <si>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</si>
  <si>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</si>
  <si>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</si>
  <si>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</si>
  <si>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</si>
  <si>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</si>
  <si>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</si>
  <si>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</si>
  <si>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</si>
  <si>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</si>
  <si>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</si>
  <si>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</si>
  <si>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</si>
  <si>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</si>
  <si>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</si>
  <si>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</si>
  <si>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</si>
  <si>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</si>
  <si>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</si>
  <si>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</si>
  <si>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</si>
  <si>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</si>
  <si>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</si>
  <si>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</si>
  <si>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</si>
  <si>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</si>
  <si>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</si>
  <si>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</si>
  <si>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</si>
  <si>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</si>
  <si>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</si>
  <si>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</si>
  <si>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</si>
  <si>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</si>
  <si>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</si>
  <si>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</si>
  <si>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</si>
  <si>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</si>
  <si>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</si>
  <si>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</si>
  <si>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</si>
  <si>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</si>
  <si>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</si>
  <si>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</si>
  <si>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</si>
  <si>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</si>
  <si>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</si>
  <si>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</si>
  <si>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</si>
  <si>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</si>
  <si>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</si>
  <si>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</si>
  <si>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</si>
  <si>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</si>
  <si>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</si>
  <si>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</si>
  <si>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</si>
  <si>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</si>
  <si>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</si>
  <si>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</si>
  <si>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</si>
  <si>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</si>
  <si>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</si>
  <si>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</si>
  <si>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</si>
  <si>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</si>
  <si>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</si>
  <si>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</si>
  <si>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</si>
  <si>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</si>
  <si>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</si>
  <si>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</si>
  <si>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</si>
  <si>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</si>
  <si>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</si>
  <si>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</si>
  <si>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</si>
  <si>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</si>
  <si>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</si>
  <si>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</si>
  <si>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</si>
  <si>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</si>
  <si>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</si>
  <si>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</si>
  <si>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</si>
  <si>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</si>
  <si>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</si>
  <si>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</si>
  <si>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</si>
  <si>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</si>
  <si>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</si>
  <si>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</si>
  <si>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</si>
  <si>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</si>
  <si>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</si>
  <si>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</si>
  <si>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</si>
  <si>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</si>
  <si>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</si>
  <si>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</si>
  <si>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</si>
  <si>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</si>
  <si>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</si>
  <si>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</si>
  <si>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</si>
  <si>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</si>
  <si>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</si>
  <si>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</si>
  <si>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</si>
  <si>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</si>
  <si>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</si>
  <si>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</si>
  <si>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</si>
  <si>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</si>
  <si>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</si>
  <si>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</si>
  <si>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</si>
  <si>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</si>
  <si>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</si>
  <si>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</si>
  <si>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</si>
  <si>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</si>
  <si>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</si>
  <si>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</si>
  <si>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</si>
  <si>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</si>
  <si>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</si>
  <si>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</si>
  <si>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</si>
  <si>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</si>
  <si>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</si>
  <si>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</si>
  <si>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</si>
  <si>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</si>
  <si>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</si>
  <si>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</si>
  <si>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</si>
  <si>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</si>
  <si>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</si>
  <si>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</si>
  <si>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</si>
  <si>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</si>
  <si>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</si>
  <si>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</si>
  <si>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</si>
  <si>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</si>
  <si>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</si>
  <si>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</si>
  <si>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</si>
  <si>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</si>
  <si>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</si>
  <si>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</si>
  <si>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</si>
  <si>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</si>
  <si>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</si>
  <si>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</si>
  <si>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</si>
  <si>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</si>
  <si>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</si>
  <si>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</si>
  <si>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</si>
  <si>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</si>
  <si>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</si>
  <si>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</si>
  <si>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</si>
  <si>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</si>
  <si>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</si>
  <si>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</si>
  <si>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</si>
  <si>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</si>
  <si>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</si>
  <si>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</si>
  <si>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</si>
  <si>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</si>
  <si>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</si>
  <si>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</si>
  <si>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</si>
  <si>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</si>
  <si>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</si>
  <si>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</si>
  <si>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</si>
  <si>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</si>
  <si>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</si>
  <si>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</si>
  <si>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</si>
  <si>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</si>
  <si>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</si>
  <si>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</si>
  <si>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</si>
  <si>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</si>
  <si>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</si>
  <si>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</si>
  <si>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</si>
  <si>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</si>
  <si>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</si>
  <si>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</si>
  <si>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</si>
  <si>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</si>
  <si>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</si>
  <si>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</si>
  <si>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</si>
  <si>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</si>
  <si>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</si>
  <si>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</si>
  <si>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</si>
  <si>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</si>
  <si>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</si>
  <si>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</si>
  <si>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</si>
  <si>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</si>
  <si>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</si>
  <si>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</si>
  <si>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</si>
  <si>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</si>
  <si>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</si>
  <si>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</si>
  <si>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</si>
  <si>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</si>
  <si>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</si>
  <si>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</si>
  <si>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</si>
  <si>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</si>
  <si>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</si>
  <si>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</si>
  <si>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</si>
  <si>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</si>
  <si>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</si>
  <si>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</si>
  <si>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</si>
  <si>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</si>
  <si>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</si>
  <si>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</si>
  <si>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</si>
  <si>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</si>
  <si>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</si>
  <si>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</si>
  <si>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</si>
  <si>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</si>
  <si>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</si>
  <si>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</si>
  <si>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</si>
  <si>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</si>
  <si>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</si>
  <si>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</si>
  <si>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</si>
  <si>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</si>
  <si>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</si>
  <si>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</si>
  <si>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</si>
  <si>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</si>
  <si>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</si>
  <si>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</si>
  <si>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</si>
  <si>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</si>
  <si>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</si>
  <si>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</si>
  <si>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</si>
  <si>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</si>
  <si>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</si>
  <si>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</si>
  <si>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</si>
  <si>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</si>
  <si>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</si>
  <si>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</si>
  <si>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</si>
  <si>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</si>
  <si>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</si>
  <si>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</si>
  <si>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</si>
  <si>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</si>
  <si>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</si>
  <si>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</si>
  <si>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</si>
  <si>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</si>
  <si>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</si>
  <si>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</si>
  <si>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</si>
  <si>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</si>
  <si>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</si>
  <si>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</si>
  <si>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</si>
  <si>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</si>
  <si>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</si>
  <si>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</si>
  <si>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</si>
  <si>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</si>
  <si>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</si>
  <si>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</si>
  <si>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</si>
  <si>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</si>
  <si>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</si>
  <si>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</si>
  <si>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</si>
  <si>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</si>
  <si>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</si>
  <si>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</si>
  <si>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</si>
  <si>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</si>
  <si>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</si>
  <si>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</si>
  <si>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</si>
  <si>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</si>
  <si>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</si>
  <si>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</si>
  <si>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</si>
  <si>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</si>
  <si>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</si>
  <si>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</si>
  <si>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</si>
  <si>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</si>
  <si>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</si>
  <si>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</si>
  <si>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</si>
  <si>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</si>
  <si>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</si>
  <si>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</si>
  <si>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</si>
  <si>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</si>
  <si>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</si>
  <si>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</si>
  <si>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</si>
  <si>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</si>
  <si>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</si>
  <si>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</si>
  <si>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</si>
  <si>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</si>
  <si>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</si>
  <si>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</si>
  <si>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</si>
  <si>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</si>
  <si>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</si>
  <si>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</si>
  <si>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</si>
  <si>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</si>
  <si>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</si>
  <si>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</si>
  <si>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</si>
  <si>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</si>
  <si>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</si>
  <si>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</si>
  <si>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</si>
  <si>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</si>
  <si>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</si>
  <si>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</si>
  <si>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</si>
  <si>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</si>
  <si>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</si>
  <si>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</si>
  <si>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</si>
  <si>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</si>
  <si>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</si>
  <si>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</si>
  <si>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</si>
  <si>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</si>
  <si>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</si>
  <si>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</si>
  <si>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</si>
  <si>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</si>
  <si>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</si>
  <si>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</si>
  <si>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</si>
  <si>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</si>
  <si>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</si>
  <si>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</si>
  <si>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</si>
  <si>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</si>
  <si>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</si>
  <si>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</si>
  <si>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</si>
  <si>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</si>
  <si>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</si>
  <si>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</si>
  <si>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</si>
  <si>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</si>
  <si>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</si>
  <si>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</si>
  <si>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</si>
  <si>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</si>
  <si>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</si>
  <si>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</si>
  <si>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</si>
  <si>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</si>
  <si>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</si>
  <si>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</si>
  <si>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</si>
  <si>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</si>
  <si>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</si>
  <si>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</si>
  <si>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</si>
  <si>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</si>
  <si>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</si>
  <si>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</si>
  <si>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</si>
  <si>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</si>
  <si>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</si>
  <si>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</si>
  <si>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</si>
  <si>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</si>
  <si>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</si>
  <si>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</si>
  <si>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</si>
  <si>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</si>
  <si>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</si>
  <si>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</si>
  <si>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</si>
  <si>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</si>
  <si>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</si>
  <si>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</si>
  <si>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</si>
  <si>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</si>
  <si>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</si>
  <si>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</si>
  <si>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</si>
  <si>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</si>
  <si>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</si>
  <si>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</si>
  <si>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</si>
  <si>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</si>
  <si>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</si>
  <si>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</si>
  <si>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</si>
  <si>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</si>
  <si>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</si>
  <si>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</si>
  <si>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</si>
  <si>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</si>
  <si>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</si>
  <si>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</si>
  <si>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</si>
  <si>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</si>
  <si>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</si>
  <si>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</si>
  <si>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</si>
  <si>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</si>
  <si>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</si>
  <si>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</si>
  <si>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</si>
  <si>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</si>
  <si>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</si>
  <si>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</si>
  <si>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</si>
  <si>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</si>
  <si>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</si>
  <si>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</si>
  <si>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</si>
  <si>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</si>
  <si>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</si>
  <si>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</si>
  <si>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</si>
  <si>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</si>
  <si>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</si>
  <si>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</si>
  <si>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</si>
  <si>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</si>
  <si>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</si>
  <si>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</si>
  <si>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</si>
  <si>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</si>
  <si>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</si>
  <si>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</si>
  <si>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</si>
  <si>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</si>
  <si>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</si>
  <si>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</si>
  <si>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</si>
  <si>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</si>
  <si>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</si>
  <si>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</si>
  <si>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</si>
  <si>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</si>
  <si>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</si>
  <si>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</si>
  <si>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</si>
  <si>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</si>
  <si>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</si>
  <si>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</si>
  <si>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</si>
  <si>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</si>
  <si>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</si>
  <si>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</si>
  <si>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</si>
  <si>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</si>
  <si>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</si>
  <si>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</si>
  <si>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</si>
  <si>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</si>
  <si>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</si>
  <si>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</si>
  <si>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</si>
  <si>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</si>
  <si>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</si>
  <si>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</si>
  <si>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</si>
  <si>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</si>
  <si>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</si>
  <si>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</si>
  <si>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</si>
  <si>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</si>
  <si>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</si>
  <si>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</si>
  <si>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</si>
  <si>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</si>
  <si>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</si>
  <si>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</si>
  <si>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</si>
  <si>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</si>
  <si>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</si>
  <si>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</si>
  <si>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</si>
  <si>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</si>
  <si>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</si>
  <si>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</si>
  <si>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</si>
  <si>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</si>
  <si>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</si>
  <si>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</si>
  <si>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</si>
  <si>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</si>
  <si>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</si>
  <si>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</si>
  <si>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</si>
  <si>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</si>
  <si>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</si>
  <si>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</si>
  <si>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</si>
  <si>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</si>
  <si>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</si>
  <si>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</si>
  <si>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</si>
  <si>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</si>
  <si>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</si>
  <si>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</si>
  <si>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</si>
  <si>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</si>
  <si>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</si>
  <si>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</si>
  <si>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</si>
  <si>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</si>
  <si>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</si>
  <si>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</si>
  <si>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</si>
  <si>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</si>
  <si>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</si>
  <si>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</si>
  <si>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</si>
  <si>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</si>
  <si>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</si>
  <si>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</si>
  <si>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</si>
  <si>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</si>
  <si>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</si>
  <si>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</si>
  <si>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</si>
  <si>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</si>
  <si>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</si>
  <si>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</si>
  <si>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</si>
  <si>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</si>
  <si>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</si>
  <si>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</si>
  <si>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</si>
  <si>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</si>
  <si>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</si>
  <si>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</si>
  <si>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</si>
  <si>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</si>
  <si>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</si>
  <si>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</si>
  <si>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</si>
  <si>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</si>
  <si>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</si>
  <si>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</si>
  <si>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</si>
  <si>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</si>
  <si>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</si>
  <si>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</si>
  <si>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</si>
  <si>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</si>
  <si>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</si>
  <si>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</si>
  <si>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</si>
  <si>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</si>
  <si>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</si>
  <si>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</si>
  <si>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</si>
  <si>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</si>
  <si>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</si>
  <si>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</si>
  <si>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</si>
  <si>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</si>
  <si>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</si>
  <si>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</si>
  <si>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</si>
  <si>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</si>
  <si>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</si>
  <si>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</si>
  <si>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</si>
  <si>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</si>
  <si>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</si>
  <si>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</si>
  <si>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</si>
  <si>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</si>
  <si>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</si>
  <si>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</si>
  <si>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</si>
  <si>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</si>
  <si>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</si>
  <si>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</si>
  <si>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</si>
  <si>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</si>
  <si>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</si>
  <si>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</si>
  <si>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</si>
  <si>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</si>
  <si>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</si>
  <si>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</si>
  <si>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</si>
  <si>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</si>
  <si>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</si>
  <si>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</si>
  <si>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</si>
  <si>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</si>
  <si>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</si>
  <si>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</si>
  <si>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</si>
  <si>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</si>
  <si>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</si>
  <si>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</si>
  <si>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</si>
  <si>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</si>
  <si>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</si>
  <si>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</si>
  <si>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</si>
  <si>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</si>
  <si>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</si>
  <si>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</si>
  <si>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</si>
  <si>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</si>
  <si>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</si>
  <si>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</si>
  <si>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</si>
  <si>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</si>
  <si>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</si>
  <si>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</si>
  <si>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</si>
  <si>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</si>
  <si>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</si>
  <si>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</si>
  <si>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</si>
  <si>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</si>
  <si>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</si>
  <si>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</si>
  <si>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</si>
  <si>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</si>
  <si>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</si>
  <si>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</si>
  <si>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</si>
  <si>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</si>
  <si>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</si>
  <si>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</si>
  <si>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</si>
  <si>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</si>
  <si>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</si>
  <si>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</si>
  <si>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</si>
  <si>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</si>
  <si>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</si>
  <si>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</si>
  <si>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</si>
  <si>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</si>
  <si>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</si>
  <si>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</si>
  <si>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</si>
  <si>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</si>
  <si>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</si>
  <si>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</si>
  <si>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</si>
  <si>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</si>
  <si>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</si>
  <si>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</si>
  <si>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</si>
  <si>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</si>
  <si>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</si>
  <si>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</si>
  <si>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</si>
  <si>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</si>
  <si>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</si>
  <si>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</si>
  <si>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</si>
  <si>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</si>
  <si>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</si>
  <si>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</si>
  <si>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</si>
  <si>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</si>
  <si>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</si>
  <si>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</si>
  <si>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</si>
  <si>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</si>
  <si>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</si>
  <si>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</si>
  <si>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</si>
  <si>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</si>
  <si>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</si>
  <si>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</si>
  <si>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</si>
  <si>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</si>
  <si>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</si>
  <si>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</si>
  <si>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</si>
  <si>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</si>
  <si>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</si>
  <si>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</si>
  <si>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</si>
  <si>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</si>
  <si>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</si>
  <si>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</si>
  <si>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</si>
  <si>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</si>
  <si>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</si>
  <si>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</si>
  <si>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</si>
  <si>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</si>
  <si>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</si>
  <si>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</si>
  <si>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</si>
  <si>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</si>
  <si>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</si>
  <si>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</si>
  <si>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</si>
  <si>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</si>
  <si>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</si>
  <si>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</si>
  <si>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</si>
  <si>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</si>
  <si>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</si>
  <si>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</si>
  <si>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</si>
  <si>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</si>
  <si>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</si>
  <si>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</si>
  <si>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</si>
  <si>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</si>
  <si>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</si>
  <si>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</si>
  <si>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</si>
  <si>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</si>
  <si>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</si>
  <si>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</si>
  <si>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</si>
  <si>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</si>
  <si>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</si>
  <si>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</si>
  <si>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</si>
  <si>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</si>
  <si>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</si>
  <si>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</si>
  <si>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</si>
  <si>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</si>
  <si>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</si>
  <si>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</si>
  <si>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</si>
  <si>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</si>
  <si>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</si>
  <si>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</si>
  <si>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</si>
  <si>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</si>
  <si>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</si>
  <si>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</si>
  <si>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</si>
  <si>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</si>
  <si>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</si>
  <si>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</si>
  <si>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</si>
  <si>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</si>
  <si>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</si>
  <si>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</si>
  <si>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</si>
  <si>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</si>
  <si>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</si>
  <si>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</si>
  <si>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</si>
  <si>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</si>
  <si>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</si>
  <si>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</si>
  <si>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</si>
  <si>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</si>
  <si>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</si>
  <si>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</si>
  <si>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</si>
  <si>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</si>
  <si>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</si>
  <si>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</si>
  <si>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</si>
  <si>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</si>
  <si>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</si>
  <si>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</si>
  <si>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</si>
  <si>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</si>
  <si>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</si>
  <si>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</si>
  <si>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</si>
  <si>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</si>
  <si>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</si>
  <si>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</si>
  <si>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</si>
  <si>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</si>
  <si>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</si>
  <si>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</si>
  <si>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</si>
  <si>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</si>
  <si>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</si>
  <si>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</si>
  <si>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</si>
  <si>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</si>
  <si>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</si>
  <si>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</si>
  <si>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</si>
  <si>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</si>
  <si>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</si>
  <si>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</si>
  <si>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</si>
  <si>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</si>
  <si>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</si>
  <si>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</si>
  <si>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</si>
  <si>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</si>
  <si>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</si>
  <si>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</si>
  <si>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</si>
  <si>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</si>
  <si>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</si>
  <si>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</si>
  <si>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</si>
  <si>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</si>
  <si>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</si>
  <si>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</si>
  <si>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</si>
  <si>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</si>
  <si>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</si>
  <si>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</si>
  <si>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</si>
  <si>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</si>
  <si>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</si>
  <si>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</si>
  <si>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</si>
  <si>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</si>
  <si>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</si>
  <si>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</si>
  <si>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</si>
  <si>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</si>
  <si>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</si>
  <si>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</si>
  <si>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</si>
  <si>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</si>
  <si>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</si>
  <si>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</si>
  <si>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</si>
  <si>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</si>
  <si>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</si>
  <si>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</si>
  <si>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</si>
  <si>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</si>
  <si>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</si>
  <si>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</si>
  <si>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</si>
  <si>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</si>
  <si>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</si>
  <si>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</si>
  <si>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</si>
  <si>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</si>
  <si>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</si>
  <si>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</si>
  <si>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</si>
  <si>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</si>
  <si>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</si>
  <si>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</si>
  <si>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</si>
  <si>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</si>
  <si>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</si>
  <si>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</si>
  <si>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</si>
  <si>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</si>
  <si>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</si>
  <si>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</si>
  <si>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</si>
  <si>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</si>
  <si>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</si>
  <si>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</si>
  <si>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</si>
  <si>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</si>
  <si>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</si>
  <si>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</si>
  <si>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</si>
  <si>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</si>
  <si>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</si>
  <si>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</si>
  <si>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</si>
  <si>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</si>
  <si>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</si>
  <si>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</si>
  <si>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</si>
  <si>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</si>
  <si>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</si>
  <si>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</si>
  <si>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</si>
  <si>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</si>
  <si>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</si>
  <si>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</si>
  <si>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</si>
  <si>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</si>
  <si>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</si>
  <si>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</si>
  <si>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</si>
  <si>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</si>
  <si>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</si>
  <si>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</si>
  <si>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</si>
  <si>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</si>
  <si>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</si>
  <si>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</si>
  <si>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</si>
  <si>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</si>
  <si>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</si>
  <si>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</si>
  <si>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</si>
  <si>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</si>
  <si>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</si>
  <si>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</si>
  <si>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</si>
  <si>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</si>
  <si>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</si>
  <si>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</si>
  <si>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</si>
  <si>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</si>
  <si>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</si>
  <si>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</si>
  <si>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</si>
  <si>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</si>
  <si>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</si>
  <si>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</si>
  <si>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</si>
  <si>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</si>
  <si>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</si>
  <si>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</si>
  <si>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</si>
  <si>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</si>
  <si>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</si>
  <si>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</si>
  <si>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</si>
  <si>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</si>
  <si>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</si>
  <si>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</si>
  <si>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</si>
  <si>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</si>
  <si>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</si>
  <si>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</si>
  <si>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</si>
  <si>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</si>
  <si>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</si>
  <si>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</si>
  <si>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</si>
  <si>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</si>
  <si>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</si>
  <si>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</si>
  <si>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</si>
  <si>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</si>
  <si>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</si>
  <si>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</si>
  <si>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</si>
  <si>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</si>
  <si>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</si>
  <si>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</si>
  <si>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</si>
  <si>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</si>
  <si>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</si>
  <si>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</si>
  <si>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</si>
  <si>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</si>
  <si>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</si>
  <si>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</si>
  <si>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</si>
  <si>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</si>
  <si>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</si>
  <si>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</si>
  <si>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</si>
  <si>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</si>
  <si>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</si>
  <si>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</si>
  <si>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</si>
  <si>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</si>
  <si>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</si>
  <si>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</si>
  <si>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</si>
  <si>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</si>
  <si>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</si>
  <si>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</si>
  <si>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</si>
  <si>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</si>
  <si>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</si>
  <si>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</si>
  <si>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</si>
  <si>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</si>
  <si>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</si>
  <si>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</si>
  <si>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</si>
  <si>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</si>
  <si>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</si>
  <si>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</si>
  <si>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</si>
  <si>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</si>
  <si>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</si>
  <si>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</si>
  <si>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</si>
  <si>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</si>
  <si>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</si>
  <si>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</si>
  <si>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</si>
  <si>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</si>
  <si>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</si>
  <si>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</si>
  <si>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</si>
  <si>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</si>
  <si>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</si>
  <si>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</si>
  <si>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</si>
  <si>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</si>
  <si>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</si>
  <si>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</si>
  <si>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</si>
  <si>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</si>
  <si>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</si>
  <si>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</si>
  <si>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</si>
  <si>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</si>
  <si>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</si>
  <si>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</si>
  <si>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</si>
  <si>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</si>
  <si>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</si>
  <si>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</si>
  <si>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</si>
  <si>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</si>
  <si>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</si>
  <si>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</si>
  <si>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</si>
  <si>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</si>
  <si>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</si>
  <si>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</si>
  <si>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</si>
  <si>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</si>
  <si>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</si>
  <si>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</si>
  <si>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</si>
  <si>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</si>
  <si>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</si>
  <si>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</si>
  <si>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</si>
  <si>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</si>
  <si>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</si>
  <si>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</si>
  <si>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</si>
  <si>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</si>
  <si>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</si>
  <si>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</si>
  <si>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</si>
  <si>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</si>
  <si>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</si>
  <si>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</si>
  <si>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</si>
  <si>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</si>
  <si>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</si>
  <si>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</si>
  <si>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</si>
  <si>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</si>
  <si>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</si>
  <si>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</si>
  <si>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</si>
  <si>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</si>
  <si>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</si>
  <si>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</si>
  <si>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</si>
  <si>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</si>
  <si>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</si>
  <si>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</si>
  <si>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</si>
  <si>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</si>
  <si>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</si>
  <si>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</si>
  <si>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</si>
  <si>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</si>
  <si>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</si>
  <si>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</si>
  <si>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</si>
  <si>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</si>
  <si>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</si>
  <si>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</si>
  <si>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</si>
  <si>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</si>
  <si>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</si>
  <si>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</si>
  <si>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</si>
  <si>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</si>
  <si>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</si>
  <si>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</si>
  <si>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</si>
  <si>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</si>
  <si>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</si>
  <si>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</si>
  <si>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</si>
  <si>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</si>
  <si>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</si>
  <si>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</si>
  <si>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</si>
  <si>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</si>
  <si>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</si>
  <si>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</si>
  <si>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</si>
  <si>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</si>
  <si>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</si>
  <si>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</si>
  <si>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</si>
  <si>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</si>
  <si>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</si>
  <si>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</si>
  <si>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</si>
  <si>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</si>
  <si>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</si>
  <si>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</si>
  <si>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</si>
  <si>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</si>
  <si>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</si>
  <si>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</si>
  <si>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</si>
  <si>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</si>
  <si>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</si>
  <si>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</si>
  <si>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</si>
  <si>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</si>
  <si>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</si>
  <si>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</si>
  <si>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</si>
  <si>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</si>
  <si>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</si>
  <si>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</si>
  <si>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</si>
  <si>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</si>
  <si>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</si>
  <si>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</si>
  <si>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</si>
  <si>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</si>
  <si>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</si>
  <si>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</si>
  <si>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</si>
  <si>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</si>
  <si>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</si>
  <si>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</si>
  <si>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</si>
  <si>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</si>
  <si>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</si>
  <si>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</si>
  <si>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</si>
  <si>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</si>
  <si>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</si>
  <si>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</si>
  <si>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</si>
  <si>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</si>
  <si>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</si>
  <si>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</si>
  <si>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</si>
  <si>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</si>
  <si>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</si>
  <si>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</si>
  <si>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</si>
  <si>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</si>
  <si>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</si>
  <si>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</si>
  <si>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</si>
  <si>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</si>
  <si>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</si>
  <si>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</si>
  <si>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</si>
  <si>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</si>
  <si>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</si>
  <si>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</si>
  <si>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</si>
  <si>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</si>
  <si>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</si>
  <si>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</si>
  <si>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</si>
  <si>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</si>
  <si>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</si>
  <si>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</si>
  <si>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</si>
  <si>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</si>
  <si>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</si>
  <si>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</si>
  <si>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</si>
  <si>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</si>
  <si>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</si>
  <si>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</si>
  <si>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</si>
  <si>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</si>
  <si>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</si>
  <si>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</si>
  <si>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</si>
  <si>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</si>
  <si>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</si>
  <si>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</si>
  <si>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</si>
  <si>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</si>
  <si>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</si>
  <si>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</si>
  <si>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</si>
  <si>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</si>
  <si>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</si>
  <si>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</si>
  <si>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</si>
  <si>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</si>
  <si>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</si>
  <si>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</si>
  <si>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</si>
  <si>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</si>
  <si>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</si>
  <si>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</si>
  <si>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</si>
  <si>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</si>
  <si>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</si>
  <si>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</si>
  <si>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</si>
  <si>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</si>
  <si>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</si>
  <si>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</si>
  <si>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</si>
  <si>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</si>
  <si>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</si>
  <si>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</si>
  <si>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</si>
  <si>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</si>
  <si>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</si>
  <si>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</si>
  <si>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</si>
  <si>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</si>
  <si>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</si>
  <si>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</si>
  <si>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</si>
  <si>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</si>
  <si>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</si>
  <si>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</si>
  <si>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</si>
  <si>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</si>
  <si>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</si>
  <si>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</si>
  <si>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</si>
  <si>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</si>
  <si>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</si>
  <si>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</si>
  <si>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</si>
  <si>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</si>
  <si>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</si>
  <si>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</si>
  <si>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</si>
  <si>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</si>
  <si>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</si>
  <si>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</si>
  <si>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</si>
  <si>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</si>
  <si>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</si>
  <si>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</si>
  <si>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</si>
  <si>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</si>
  <si>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</si>
  <si>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</si>
  <si>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</si>
  <si>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</si>
  <si>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</si>
  <si>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</si>
  <si>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</si>
  <si>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</si>
  <si>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</si>
  <si>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</si>
  <si>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</si>
  <si>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</si>
  <si>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</si>
  <si>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</si>
  <si>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</si>
  <si>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</si>
  <si>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</si>
  <si>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</si>
  <si>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</si>
  <si>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</si>
  <si>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</si>
  <si>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</si>
  <si>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</si>
  <si>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</si>
  <si>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</si>
  <si>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</si>
  <si>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</si>
  <si>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</si>
  <si>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</si>
  <si>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</si>
  <si>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</si>
  <si>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</si>
  <si>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</si>
  <si>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</si>
  <si>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</si>
  <si>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</si>
  <si>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</si>
  <si>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</si>
  <si>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</si>
  <si>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</si>
  <si>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</si>
  <si>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</si>
  <si>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</si>
  <si>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</si>
  <si>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</si>
  <si>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</si>
  <si>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</si>
  <si>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</si>
  <si>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</si>
  <si>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</si>
  <si>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</si>
  <si>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</si>
  <si>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</si>
  <si>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</si>
  <si>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</si>
  <si>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</si>
  <si>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</si>
  <si>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</si>
  <si>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</si>
  <si>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</si>
  <si>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</si>
  <si>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</si>
  <si>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</si>
  <si>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</si>
  <si>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</si>
  <si>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</si>
  <si>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</si>
  <si>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</si>
  <si>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</si>
  <si>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</si>
  <si>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</si>
  <si>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</si>
  <si>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</si>
  <si>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</si>
  <si>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</si>
  <si>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</si>
  <si>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</si>
  <si>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</si>
  <si>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</si>
  <si>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</si>
  <si>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</si>
  <si>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</si>
  <si>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</si>
  <si>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</si>
  <si>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</si>
  <si>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</si>
  <si>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</si>
  <si>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</si>
  <si>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</si>
  <si>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</si>
  <si>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</si>
  <si>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</si>
  <si>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</si>
  <si>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</si>
  <si>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</si>
  <si>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</si>
  <si>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</si>
  <si>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</si>
  <si>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</si>
  <si>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</si>
  <si>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</si>
  <si>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</si>
  <si>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</si>
  <si>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</si>
  <si>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</si>
  <si>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</si>
  <si>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</si>
  <si>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</si>
  <si>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</si>
  <si>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</si>
  <si>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</si>
  <si>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</si>
  <si>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</si>
  <si>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</si>
  <si>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</si>
  <si>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</si>
  <si>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</si>
  <si>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</si>
  <si>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</si>
  <si>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</si>
  <si>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</si>
  <si>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</si>
  <si>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</si>
  <si>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</si>
  <si>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</si>
  <si>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</si>
  <si>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</si>
  <si>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</si>
  <si>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</si>
  <si>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</si>
  <si>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</si>
  <si>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</si>
  <si>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</si>
  <si>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</si>
  <si>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</si>
  <si>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</si>
  <si>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</si>
  <si>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</si>
  <si>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</si>
  <si>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</si>
  <si>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</si>
  <si>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</si>
  <si>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</si>
  <si>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</si>
  <si>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</si>
  <si>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</si>
  <si>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</si>
  <si>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</si>
  <si>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</si>
  <si>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</si>
  <si>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</si>
  <si>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</si>
  <si>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</si>
  <si>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</si>
  <si>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</si>
  <si>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</si>
  <si>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</si>
  <si>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</si>
  <si>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</si>
  <si>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</si>
  <si>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</si>
  <si>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</si>
  <si>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</si>
  <si>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</si>
  <si>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</si>
  <si>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</si>
  <si>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</si>
  <si>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</si>
  <si>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</si>
  <si>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</si>
  <si>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</si>
  <si>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</si>
  <si>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</si>
  <si>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</si>
  <si>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</si>
  <si>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</si>
  <si>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</si>
  <si>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</si>
  <si>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</si>
  <si>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</si>
  <si>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</si>
  <si>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</si>
  <si>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</si>
  <si>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</si>
  <si>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</si>
  <si>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</si>
  <si>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</si>
  <si>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</si>
  <si>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</si>
  <si>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</si>
  <si>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</si>
  <si>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</si>
  <si>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</si>
  <si>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</si>
  <si>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</si>
  <si>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</si>
  <si>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</si>
  <si>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</si>
  <si>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</si>
  <si>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</si>
  <si>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</si>
  <si>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</si>
  <si>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</si>
  <si>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</si>
  <si>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</si>
  <si>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</si>
  <si>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</si>
  <si>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</si>
  <si>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</si>
  <si>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</si>
  <si>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</si>
  <si>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</si>
  <si>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</si>
  <si>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</si>
  <si>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</si>
  <si>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</si>
  <si>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</si>
  <si>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</si>
  <si>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</si>
  <si>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</si>
  <si>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</si>
  <si>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</si>
  <si>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</si>
  <si>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</si>
  <si>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</si>
  <si>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</si>
  <si>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</si>
  <si>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</si>
  <si>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</si>
  <si>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</si>
  <si>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</si>
  <si>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</si>
  <si>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</si>
  <si>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</si>
  <si>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</si>
  <si>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</si>
  <si>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</si>
  <si>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</si>
  <si>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</si>
  <si>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</si>
  <si>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</si>
  <si>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</si>
  <si>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</si>
  <si>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</si>
  <si>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</si>
  <si>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</si>
  <si>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</si>
  <si>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</si>
  <si>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</si>
  <si>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</si>
  <si>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</si>
  <si>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</si>
  <si>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</si>
  <si>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</si>
  <si>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</si>
  <si>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</si>
  <si>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</si>
  <si>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</si>
  <si>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</si>
  <si>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</si>
  <si>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</si>
  <si>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</si>
  <si>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</si>
  <si>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</si>
  <si>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</si>
  <si>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</si>
  <si>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</si>
  <si>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</si>
  <si>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</si>
  <si>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</si>
  <si>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</si>
  <si>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</si>
  <si>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</si>
  <si>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</si>
  <si>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</si>
  <si>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</si>
  <si>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</si>
  <si>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</si>
  <si>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</si>
  <si>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</si>
  <si>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</si>
  <si>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</si>
  <si>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</si>
  <si>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</si>
  <si>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</si>
  <si>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</si>
  <si>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</si>
  <si>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</si>
  <si>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</si>
  <si>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</si>
  <si>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</si>
  <si>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</si>
  <si>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</si>
  <si>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</si>
  <si>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</si>
  <si>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</si>
  <si>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</si>
  <si>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</si>
  <si>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</si>
  <si>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</si>
  <si>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</si>
  <si>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</si>
  <si>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</si>
  <si>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</si>
  <si>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</si>
  <si>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</si>
  <si>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</si>
  <si>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</si>
  <si>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</si>
  <si>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</si>
  <si>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</si>
  <si>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</si>
  <si>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</si>
  <si>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</si>
  <si>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</si>
  <si>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</si>
  <si>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</si>
  <si>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</si>
  <si>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</si>
  <si>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</si>
  <si>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</si>
  <si>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</si>
  <si>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</si>
  <si>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</si>
  <si>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</si>
  <si>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</si>
  <si>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</si>
  <si>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</si>
  <si>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</si>
  <si>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</si>
  <si>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</si>
  <si>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</si>
  <si>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</si>
  <si>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</si>
  <si>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</si>
  <si>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</si>
  <si>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</si>
  <si>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</si>
  <si>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</si>
  <si>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</si>
  <si>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</si>
  <si>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</si>
  <si>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</si>
  <si>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</si>
  <si>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</si>
  <si>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</si>
  <si>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</si>
  <si>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</si>
  <si>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</si>
  <si>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</si>
  <si>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</si>
  <si>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</si>
  <si>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</si>
  <si>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</si>
  <si>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</si>
  <si>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</si>
  <si>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</si>
  <si>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</si>
  <si>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</si>
  <si>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</si>
  <si>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</si>
  <si>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</si>
  <si>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</si>
  <si>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</si>
  <si>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</si>
  <si>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</si>
  <si>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</si>
  <si>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</si>
  <si>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</si>
  <si>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</si>
  <si>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</si>
  <si>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</si>
  <si>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</si>
  <si>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</si>
  <si>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</si>
  <si>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</si>
  <si>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</si>
  <si>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</si>
  <si>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</si>
  <si>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</si>
  <si>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</si>
  <si>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</si>
  <si>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</si>
  <si>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</si>
  <si>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</si>
  <si>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</si>
  <si>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</si>
  <si>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</si>
  <si>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</si>
  <si>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</si>
  <si>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</si>
  <si>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</si>
  <si>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</si>
  <si>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</si>
  <si>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</si>
  <si>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</si>
  <si>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</si>
  <si>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</si>
  <si>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</si>
  <si>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</si>
  <si>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</si>
  <si>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</si>
  <si>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</si>
  <si>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</si>
  <si>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</si>
  <si>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</si>
  <si>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</si>
  <si>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</si>
  <si>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</si>
  <si>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</si>
  <si>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</si>
  <si>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</si>
  <si>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</si>
  <si>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</si>
  <si>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</si>
  <si>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</si>
  <si>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</si>
  <si>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</si>
  <si>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</si>
  <si>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</si>
  <si>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</si>
  <si>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</si>
  <si>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</si>
  <si>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</si>
  <si>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</si>
  <si>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</si>
  <si>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</si>
  <si>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</si>
  <si>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</si>
  <si>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</si>
  <si>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</si>
  <si>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</si>
  <si>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</si>
  <si>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</si>
  <si>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</si>
  <si>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</si>
  <si>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</si>
  <si>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</si>
  <si>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</si>
  <si>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</si>
  <si>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</si>
  <si>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</si>
  <si>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</si>
  <si>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</si>
  <si>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</si>
  <si>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</si>
  <si>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</si>
  <si>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</si>
  <si>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</si>
  <si>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</si>
  <si>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</si>
  <si>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</si>
  <si>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</si>
  <si>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</si>
  <si>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</si>
  <si>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</si>
  <si>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</si>
  <si>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</si>
  <si>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</si>
  <si>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</si>
  <si>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</si>
  <si>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</si>
  <si>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</si>
  <si>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</si>
  <si>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</si>
  <si>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</si>
  <si>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</si>
  <si>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</si>
  <si>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</si>
  <si>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</si>
  <si>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</si>
  <si>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</si>
  <si>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</si>
  <si>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</si>
  <si>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</si>
  <si>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</si>
  <si>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</si>
  <si>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</si>
  <si>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</si>
  <si>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</si>
  <si>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</si>
  <si>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</si>
  <si>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</si>
  <si>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</si>
  <si>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</si>
  <si>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</si>
  <si>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</si>
  <si>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</si>
  <si>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</si>
  <si>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</si>
  <si>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</si>
  <si>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</si>
  <si>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</si>
  <si>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</si>
  <si>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</si>
  <si>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</si>
  <si>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</si>
  <si>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</si>
  <si>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</si>
  <si>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</si>
  <si>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</si>
  <si>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</si>
  <si>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</si>
  <si>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</si>
  <si>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</si>
  <si>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</si>
  <si>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</si>
  <si>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</si>
  <si>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</si>
  <si>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</si>
  <si>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</si>
  <si>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</si>
  <si>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</si>
  <si>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</si>
  <si>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</si>
  <si>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</si>
  <si>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</si>
  <si>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</si>
  <si>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</si>
  <si>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</si>
  <si>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</si>
  <si>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</si>
  <si>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</si>
  <si>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</si>
  <si>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</si>
  <si>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</si>
  <si>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</si>
  <si>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</si>
  <si>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</si>
  <si>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</si>
  <si>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</si>
  <si>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</si>
  <si>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</si>
  <si>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</si>
  <si>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</si>
  <si>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</si>
  <si>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</si>
  <si>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</si>
  <si>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</si>
  <si>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</si>
  <si>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</si>
  <si>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</si>
  <si>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</si>
  <si>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</si>
  <si>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</si>
  <si>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</si>
  <si>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</si>
  <si>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</si>
  <si>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</si>
  <si>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</si>
  <si>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</si>
  <si>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</si>
  <si>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</si>
  <si>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</si>
  <si>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</si>
  <si>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</si>
  <si>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</si>
  <si>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</si>
  <si>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</si>
  <si>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</si>
  <si>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</si>
  <si>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</si>
  <si>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</si>
  <si>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</si>
  <si>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</si>
  <si>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</si>
  <si>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</si>
  <si>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</si>
  <si>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</si>
  <si>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</si>
  <si>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</si>
  <si>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</si>
  <si>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</si>
  <si>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</si>
  <si>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</si>
  <si>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</si>
  <si>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</si>
  <si>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</si>
  <si>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</si>
  <si>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</si>
  <si>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</si>
  <si>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</si>
  <si>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</si>
  <si>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</si>
  <si>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</si>
  <si>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</si>
  <si>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</si>
  <si>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</si>
  <si>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</si>
  <si>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</si>
  <si>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</si>
  <si>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</si>
  <si>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</si>
  <si>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</si>
  <si>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</si>
  <si>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</si>
  <si>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</si>
  <si>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</si>
  <si>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</si>
  <si>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</si>
  <si>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</si>
  <si>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</si>
  <si>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</si>
  <si>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</si>
  <si>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</si>
  <si>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</si>
  <si>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</si>
  <si>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</si>
  <si>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</si>
  <si>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</si>
  <si>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</si>
  <si>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</si>
  <si>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</si>
  <si>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</si>
  <si>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</si>
  <si>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</si>
  <si>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</si>
  <si>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</si>
  <si>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</si>
  <si>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</si>
  <si>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</si>
  <si>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</si>
  <si>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</si>
  <si>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</si>
  <si>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</si>
  <si>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</si>
  <si>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</si>
  <si>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</si>
  <si>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</si>
  <si>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</si>
  <si>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</si>
  <si>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</si>
  <si>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</si>
  <si>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</si>
  <si>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</si>
  <si>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</si>
  <si>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</si>
  <si>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</si>
  <si>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</si>
  <si>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</si>
  <si>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</si>
  <si>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</si>
  <si>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</si>
  <si>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</si>
  <si>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</si>
  <si>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</si>
  <si>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</si>
  <si>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</si>
  <si>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</si>
  <si>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</si>
  <si>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</si>
  <si>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</si>
  <si>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</si>
  <si>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</si>
  <si>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</si>
  <si>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</si>
  <si>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</si>
  <si>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</si>
  <si>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</si>
  <si>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</si>
  <si>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</si>
  <si>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</si>
  <si>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</si>
  <si>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</si>
  <si>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</si>
  <si>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</si>
  <si>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</si>
  <si>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</si>
  <si>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</si>
  <si>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</si>
  <si>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</si>
  <si>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</si>
  <si>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</si>
  <si>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</si>
  <si>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</si>
  <si>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</si>
  <si>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</si>
  <si>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</si>
  <si>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</si>
  <si>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</si>
  <si>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</si>
  <si>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</si>
  <si>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</si>
  <si>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</si>
  <si>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</si>
  <si>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</si>
  <si>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</si>
  <si>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</si>
  <si>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</si>
  <si>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</si>
  <si>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</si>
  <si>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</si>
  <si>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</si>
  <si>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</si>
  <si>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</si>
  <si>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</si>
  <si>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</si>
  <si>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</si>
  <si>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</si>
  <si>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</si>
  <si>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</si>
  <si>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</si>
  <si>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</si>
  <si>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</si>
  <si>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</si>
  <si>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</si>
  <si>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</si>
  <si>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</si>
  <si>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</si>
  <si>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</si>
  <si>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</si>
  <si>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</si>
  <si>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</si>
  <si>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</si>
  <si>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</si>
  <si>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</si>
  <si>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</si>
  <si>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</si>
  <si>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</si>
  <si>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</si>
  <si>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</si>
  <si>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</si>
  <si>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</si>
  <si>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</si>
  <si>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</si>
  <si>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</si>
  <si>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</si>
  <si>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</si>
  <si>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</si>
  <si>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</si>
  <si>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</si>
  <si>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</si>
  <si>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</si>
  <si>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</si>
  <si>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</si>
  <si>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</si>
  <si>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</si>
  <si>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</si>
  <si>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</si>
  <si>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</si>
  <si>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</si>
  <si>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</si>
  <si>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</si>
  <si>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</si>
  <si>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</si>
  <si>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</si>
  <si>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</si>
  <si>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</si>
  <si>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</si>
  <si>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</si>
  <si>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</si>
  <si>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</si>
  <si>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</si>
  <si>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</si>
  <si>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</si>
  <si>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</si>
  <si>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</si>
  <si>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</si>
  <si>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</si>
  <si>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</si>
  <si>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</si>
  <si>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</si>
  <si>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</si>
  <si>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</si>
  <si>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</si>
  <si>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</si>
  <si>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</si>
  <si>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</si>
  <si>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</si>
  <si>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</si>
  <si>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</si>
  <si>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</si>
  <si>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</si>
  <si>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</si>
  <si>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</si>
  <si>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</si>
  <si>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</si>
  <si>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</si>
  <si>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</si>
  <si>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</si>
  <si>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</si>
  <si>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</si>
  <si>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</si>
  <si>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</si>
  <si>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</si>
  <si>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</si>
  <si>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</si>
  <si>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</si>
  <si>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</si>
  <si>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</si>
  <si>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</si>
  <si>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</si>
  <si>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</si>
  <si>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</si>
  <si>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</si>
  <si>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</si>
  <si>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</si>
  <si>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</si>
  <si>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</si>
  <si>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</si>
  <si>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</si>
  <si>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</si>
  <si>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</si>
  <si>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</si>
  <si>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</si>
  <si>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</si>
  <si>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</si>
  <si>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</si>
  <si>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</si>
  <si>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</si>
  <si>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</si>
  <si>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</si>
  <si>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</si>
  <si>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</si>
  <si>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</si>
  <si>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</si>
  <si>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</si>
  <si>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</si>
  <si>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</si>
  <si>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</si>
  <si>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</si>
  <si>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</si>
  <si>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</si>
  <si>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</si>
  <si>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</si>
  <si>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</si>
  <si>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</si>
  <si>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</si>
  <si>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</si>
  <si>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</si>
  <si>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</si>
  <si>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</si>
  <si>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</si>
  <si>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</si>
  <si>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</si>
  <si>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</si>
  <si>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</si>
  <si>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</si>
  <si>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</si>
  <si>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</si>
  <si>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</si>
  <si>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</si>
  <si>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</si>
  <si>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</si>
  <si>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</si>
  <si>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</si>
  <si>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</si>
  <si>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</si>
  <si>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</si>
  <si>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</si>
  <si>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</si>
  <si>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</si>
  <si>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</si>
  <si>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</si>
  <si>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</si>
  <si>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</si>
  <si>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</si>
  <si>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</si>
  <si>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</si>
  <si>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</si>
  <si>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</si>
  <si>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</si>
  <si>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</si>
  <si>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</si>
  <si>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</si>
  <si>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</si>
  <si>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</si>
  <si>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</si>
  <si>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</si>
  <si>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</si>
  <si>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</si>
  <si>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</si>
  <si>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</si>
  <si>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</si>
  <si>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</si>
  <si>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</si>
  <si>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</si>
  <si>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</si>
  <si>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</si>
  <si>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</si>
  <si>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</si>
  <si>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</si>
  <si>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</si>
  <si>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</si>
  <si>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</si>
  <si>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</si>
  <si>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</si>
  <si>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</si>
  <si>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</si>
  <si>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</si>
  <si>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</si>
  <si>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</si>
  <si>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</si>
  <si>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</si>
  <si>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</si>
  <si>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</si>
  <si>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</si>
  <si>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</si>
  <si>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</si>
  <si>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</si>
  <si>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</si>
  <si>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</si>
  <si>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</si>
  <si>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</si>
  <si>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</si>
  <si>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</si>
  <si>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</si>
  <si>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</si>
  <si>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</si>
  <si>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</si>
  <si>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</si>
  <si>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</si>
  <si>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</si>
  <si>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</si>
  <si>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</si>
  <si>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</si>
  <si>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</si>
  <si>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</si>
  <si>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</si>
  <si>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</si>
  <si>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</si>
  <si>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</si>
  <si>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</si>
  <si>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</si>
  <si>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</si>
  <si>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</si>
  <si>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</si>
  <si>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</si>
  <si>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</si>
  <si>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</si>
  <si>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</si>
  <si>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</si>
  <si>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</si>
  <si>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</si>
  <si>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</si>
  <si>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</si>
  <si>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</si>
  <si>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</si>
  <si>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</si>
  <si>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</si>
  <si>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</si>
  <si>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</si>
  <si>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</si>
  <si>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</si>
  <si>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</si>
  <si>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</si>
  <si>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</si>
  <si>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</si>
  <si>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</si>
  <si>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</si>
  <si>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</si>
  <si>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</si>
  <si>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</si>
  <si>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</si>
  <si>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</si>
  <si>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</si>
  <si>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</si>
  <si>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</si>
  <si>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</si>
  <si>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</si>
  <si>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</si>
  <si>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</si>
  <si>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</si>
  <si>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</si>
  <si>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</si>
  <si>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</si>
  <si>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</si>
  <si>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</si>
  <si>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</si>
  <si>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</si>
  <si>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</si>
  <si>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</si>
  <si>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</si>
  <si>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</si>
  <si>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</si>
  <si>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</si>
  <si>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</si>
  <si>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</si>
  <si>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</si>
  <si>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</si>
  <si>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</si>
  <si>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</si>
  <si>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</si>
  <si>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</si>
  <si>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</si>
  <si>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</si>
  <si>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</si>
  <si>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</si>
  <si>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</si>
  <si>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</si>
  <si>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</si>
  <si>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</si>
  <si>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</si>
  <si>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</si>
  <si>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</si>
  <si>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</si>
  <si>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</si>
  <si>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</si>
  <si>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</si>
  <si>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</si>
  <si>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</si>
  <si>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</si>
  <si>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</si>
  <si>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</si>
  <si>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</si>
  <si>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</si>
  <si>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</si>
  <si>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</si>
  <si>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</si>
  <si>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</si>
  <si>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</si>
  <si>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</si>
  <si>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</si>
  <si>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</si>
  <si>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</si>
  <si>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</si>
  <si>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</si>
  <si>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</si>
  <si>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</si>
  <si>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</si>
  <si>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</si>
  <si>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</si>
  <si>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</si>
  <si>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</si>
  <si>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</si>
  <si>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</si>
  <si>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</si>
  <si>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</si>
  <si>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</si>
  <si>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</si>
  <si>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</si>
  <si>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</si>
  <si>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</si>
  <si>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</si>
  <si>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</si>
  <si>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</si>
  <si>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</si>
  <si>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</si>
  <si>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</si>
  <si>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</si>
  <si>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</si>
  <si>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</si>
  <si>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</si>
  <si>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</si>
  <si>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</si>
  <si>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</si>
  <si>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</si>
  <si>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</si>
  <si>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</si>
  <si>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</si>
  <si>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</si>
  <si>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</si>
  <si>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</si>
  <si>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</si>
  <si>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</si>
  <si>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</si>
  <si>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</si>
  <si>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</si>
  <si>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</si>
  <si>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</si>
  <si>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</si>
  <si>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</si>
  <si>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</si>
  <si>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</si>
  <si>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</si>
  <si>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</si>
  <si>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</si>
  <si>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</si>
  <si>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</si>
  <si>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</si>
  <si>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</si>
  <si>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</si>
  <si>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</si>
  <si>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</si>
  <si>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</si>
  <si>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</si>
  <si>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</si>
  <si>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</si>
  <si>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</si>
  <si>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</si>
  <si>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</si>
  <si>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</si>
  <si>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</si>
  <si>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</si>
  <si>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</si>
  <si>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</si>
  <si>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</si>
  <si>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</si>
  <si>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</si>
  <si>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</si>
  <si>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</si>
  <si>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</si>
  <si>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</si>
  <si>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</si>
  <si>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</si>
  <si>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</si>
  <si>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</si>
  <si>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</si>
  <si>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</si>
  <si>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</si>
  <si>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</si>
  <si>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</si>
  <si>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</si>
  <si>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</si>
  <si>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</si>
  <si>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</si>
  <si>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</si>
  <si>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</si>
  <si>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</si>
  <si>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</si>
  <si>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</si>
  <si>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</si>
  <si>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</si>
  <si>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</si>
  <si>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</si>
  <si>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</si>
  <si>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</si>
  <si>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</si>
  <si>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</si>
  <si>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</si>
  <si>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</si>
  <si>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</si>
  <si>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</si>
  <si>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</si>
  <si>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</si>
  <si>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</si>
  <si>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</si>
  <si>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</si>
  <si>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</si>
  <si>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</si>
  <si>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</si>
  <si>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</si>
  <si>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</si>
  <si>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</si>
  <si>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</si>
  <si>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</si>
  <si>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</si>
  <si>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</si>
  <si>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</si>
  <si>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</si>
  <si>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</si>
  <si>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</si>
  <si>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</si>
  <si>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</si>
  <si>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</si>
  <si>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</si>
  <si>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</si>
  <si>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</si>
  <si>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</si>
  <si>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</si>
  <si>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</si>
  <si>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</si>
  <si>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</si>
  <si>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</si>
  <si>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</si>
  <si>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</si>
  <si>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</si>
  <si>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</si>
  <si>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</si>
  <si>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</si>
  <si>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</si>
  <si>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</si>
  <si>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</si>
  <si>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</si>
  <si>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</si>
  <si>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</si>
  <si>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</si>
  <si>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</si>
  <si>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</si>
  <si>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</si>
  <si>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</si>
  <si>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</si>
  <si>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</si>
  <si>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</si>
  <si>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</si>
  <si>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</si>
  <si>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</si>
  <si>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</si>
  <si>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</si>
  <si>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</si>
  <si>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</si>
  <si>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</si>
  <si>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</si>
  <si>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</si>
  <si>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</si>
  <si>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</si>
  <si>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</si>
  <si>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</si>
  <si>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</si>
  <si>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</si>
  <si>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</si>
  <si>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</si>
  <si>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</si>
  <si>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</si>
  <si>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</si>
  <si>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</si>
  <si>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</si>
  <si>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</si>
  <si>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</si>
  <si>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</si>
  <si>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</si>
  <si>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</si>
  <si>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</si>
  <si>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</si>
  <si>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</si>
  <si>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</si>
  <si>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</si>
  <si>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</si>
  <si>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</si>
  <si>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</si>
  <si>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</si>
  <si>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</si>
  <si>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</si>
  <si>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</si>
  <si>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</si>
  <si>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</si>
  <si>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</si>
  <si>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</si>
  <si>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</si>
  <si>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</si>
  <si>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</si>
  <si>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</si>
  <si>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</si>
  <si>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</si>
  <si>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</si>
  <si>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</si>
  <si>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</si>
  <si>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</si>
  <si>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</si>
  <si>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</si>
  <si>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</si>
  <si>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</si>
  <si>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</si>
  <si>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</si>
  <si>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</si>
  <si>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</si>
  <si>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</si>
  <si>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</si>
  <si>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</si>
  <si>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</si>
  <si>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</si>
  <si>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</si>
  <si>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</si>
  <si>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</si>
  <si>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</si>
  <si>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</si>
  <si>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</si>
  <si>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</si>
  <si>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</si>
  <si>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</si>
  <si>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</si>
  <si>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</si>
  <si>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</si>
  <si>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</si>
  <si>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</si>
  <si>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</si>
  <si>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</si>
  <si>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</si>
  <si>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</si>
  <si>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</si>
  <si>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</si>
  <si>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</si>
  <si>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</si>
  <si>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</si>
  <si>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</si>
  <si>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</si>
  <si>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</si>
  <si>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</si>
  <si>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</si>
  <si>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</si>
  <si>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</si>
  <si>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</si>
  <si>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</si>
  <si>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</si>
  <si>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</si>
  <si>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</si>
  <si>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</si>
  <si>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</si>
  <si>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</si>
  <si>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</si>
  <si>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</si>
  <si>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</si>
  <si>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</si>
  <si>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</si>
  <si>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</si>
  <si>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</si>
  <si>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</si>
  <si>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</si>
  <si>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</si>
  <si>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</si>
  <si>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</si>
  <si>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</si>
  <si>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</si>
  <si>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</si>
  <si>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</si>
  <si>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</si>
  <si>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</si>
  <si>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</si>
  <si>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</si>
  <si>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</si>
  <si>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</si>
  <si>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</si>
  <si>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</si>
  <si>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</si>
  <si>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</si>
  <si>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</si>
  <si>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</si>
  <si>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</si>
  <si>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</si>
  <si>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</si>
  <si>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</si>
  <si>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</si>
  <si>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</si>
  <si>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</si>
  <si>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</si>
  <si>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</si>
  <si>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</si>
  <si>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</si>
  <si>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</si>
  <si>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</si>
  <si>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</si>
  <si>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</si>
  <si>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</si>
  <si>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</si>
  <si>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</si>
  <si>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</si>
  <si>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</si>
  <si>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</si>
  <si>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</si>
  <si>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</si>
  <si>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</si>
  <si>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</si>
  <si>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</si>
  <si>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</si>
  <si>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</si>
  <si>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</si>
  <si>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</si>
  <si>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</si>
  <si>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</si>
  <si>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</si>
  <si>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</si>
  <si>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</si>
  <si>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</si>
  <si>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</si>
  <si>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</si>
  <si>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</si>
  <si>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</si>
  <si>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</si>
  <si>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</si>
  <si>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</si>
  <si>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</si>
  <si>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</si>
  <si>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</si>
  <si>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</si>
  <si>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</si>
  <si>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</si>
  <si>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</si>
  <si>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</si>
  <si>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</si>
  <si>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</si>
  <si>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</si>
  <si>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</si>
  <si>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</si>
  <si>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</si>
  <si>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</si>
  <si>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</si>
  <si>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</si>
  <si>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</si>
  <si>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</si>
  <si>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</si>
  <si>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</si>
  <si>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</si>
  <si>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</si>
  <si>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</si>
  <si>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</si>
  <si>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</si>
  <si>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</si>
  <si>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</si>
  <si>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</si>
  <si>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</si>
  <si>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</si>
  <si>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</si>
  <si>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</si>
  <si>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</si>
  <si>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</si>
  <si>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</si>
  <si>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</si>
  <si>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</si>
  <si>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</si>
  <si>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</si>
  <si>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</si>
  <si>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</si>
  <si>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</si>
  <si>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</si>
  <si>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</si>
  <si>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</si>
  <si>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</si>
  <si>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</si>
  <si>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</si>
  <si>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</si>
  <si>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</si>
  <si>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</si>
  <si>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</si>
  <si>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</si>
  <si>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</si>
  <si>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</si>
  <si>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</si>
  <si>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</si>
  <si>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</si>
  <si>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</si>
  <si>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</si>
  <si>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</si>
  <si>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</si>
  <si>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</si>
  <si>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</si>
  <si>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</si>
  <si>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</si>
  <si>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</si>
  <si>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</si>
  <si>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</si>
  <si>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</si>
  <si>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</si>
  <si>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</si>
  <si>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</si>
  <si>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</si>
  <si>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</si>
  <si>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</si>
  <si>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</si>
  <si>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</si>
  <si>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</si>
  <si>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</si>
  <si>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</si>
  <si>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</si>
  <si>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</si>
  <si>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</si>
  <si>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</si>
  <si>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</si>
  <si>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</si>
  <si>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</si>
  <si>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</si>
  <si>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</si>
  <si>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</si>
  <si>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</si>
  <si>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</si>
  <si>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</si>
  <si>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</si>
  <si>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</si>
  <si>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</si>
  <si>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</si>
  <si>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</si>
  <si>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</si>
  <si>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</si>
  <si>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</si>
  <si>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</si>
  <si>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</si>
  <si>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</si>
  <si>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</si>
  <si>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</si>
  <si>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</si>
  <si>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</si>
  <si>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</si>
  <si>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</si>
  <si>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</si>
  <si>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</si>
  <si>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</si>
  <si>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</si>
  <si>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</si>
  <si>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</si>
  <si>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</si>
  <si>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</si>
  <si>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</si>
  <si>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</si>
  <si>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</si>
  <si>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</si>
  <si>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</si>
  <si>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</si>
  <si>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</si>
  <si>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</si>
  <si>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</si>
  <si>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</si>
  <si>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</si>
  <si>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</si>
  <si>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</si>
  <si>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</si>
  <si>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</si>
  <si>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</si>
  <si>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</si>
  <si>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</si>
  <si>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</si>
  <si>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</si>
  <si>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</si>
  <si>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</si>
  <si>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</si>
  <si>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</si>
  <si>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</si>
  <si>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</si>
  <si>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</si>
  <si>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</si>
  <si>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</si>
  <si>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</si>
  <si>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</si>
  <si>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</si>
  <si>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</si>
  <si>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</si>
  <si>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</si>
  <si>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</si>
  <si>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</si>
  <si>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</si>
  <si>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</si>
  <si>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</si>
  <si>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</si>
  <si>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</si>
  <si>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</si>
  <si>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</si>
  <si>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</si>
  <si>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</si>
  <si>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</si>
  <si>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</si>
  <si>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</si>
  <si>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</si>
  <si>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</si>
  <si>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</si>
  <si>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</si>
  <si>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</si>
  <si>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</si>
  <si>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</si>
  <si>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</si>
  <si>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</si>
  <si>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</si>
  <si>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</si>
  <si>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</si>
  <si>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</si>
  <si>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</si>
  <si>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</si>
  <si>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</si>
  <si>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</si>
  <si>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</si>
  <si>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</si>
  <si>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</si>
  <si>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</si>
  <si>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</si>
  <si>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</si>
  <si>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</si>
  <si>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</si>
  <si>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</si>
  <si>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</si>
  <si>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</si>
  <si>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</si>
  <si>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</si>
  <si>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</si>
  <si>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</si>
  <si>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</si>
  <si>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</si>
  <si>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</si>
  <si>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</si>
  <si>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</si>
  <si>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</si>
  <si>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</si>
  <si>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</si>
  <si>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</si>
  <si>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</si>
  <si>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</si>
  <si>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</si>
  <si>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</si>
  <si>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</si>
  <si>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</si>
  <si>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</si>
  <si>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</si>
  <si>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</si>
  <si>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</si>
  <si>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</si>
  <si>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</si>
  <si>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</si>
  <si>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</si>
  <si>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</si>
  <si>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</si>
  <si>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</si>
  <si>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</si>
  <si>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</si>
  <si>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</si>
  <si>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</si>
  <si>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</si>
  <si>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</si>
  <si>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</si>
  <si>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</si>
  <si>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</si>
  <si>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</si>
  <si>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</si>
  <si>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</si>
  <si>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</si>
  <si>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</si>
  <si>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</si>
  <si>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</si>
  <si>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</si>
  <si>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</si>
  <si>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</si>
  <si>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</si>
  <si>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</si>
  <si>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</si>
  <si>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</si>
  <si>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</si>
  <si>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</si>
  <si>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</si>
  <si>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</si>
  <si>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</si>
  <si>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</si>
  <si>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</si>
  <si>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</si>
  <si>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</si>
  <si>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</si>
  <si>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</si>
  <si>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</si>
  <si>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</si>
  <si>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</si>
  <si>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</si>
  <si>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</si>
  <si>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</si>
  <si>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</si>
  <si>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</si>
  <si>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</si>
  <si>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</si>
  <si>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</si>
  <si>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</si>
  <si>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</si>
  <si>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</si>
  <si>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</si>
  <si>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</si>
  <si>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</si>
  <si>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</si>
  <si>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</si>
  <si>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</si>
  <si>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</si>
  <si>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</si>
  <si>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</si>
  <si>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</si>
  <si>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</si>
  <si>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</si>
  <si>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</si>
  <si>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</si>
  <si>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</si>
  <si>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</si>
  <si>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</si>
  <si>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</si>
  <si>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</si>
  <si>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</si>
  <si>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</si>
  <si>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</si>
  <si>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</si>
  <si>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</si>
  <si>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</si>
  <si>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</si>
  <si>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</si>
  <si>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</si>
  <si>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</si>
  <si>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</si>
  <si>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</si>
  <si>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</si>
  <si>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</si>
  <si>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</si>
  <si>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</si>
  <si>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</si>
  <si>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</si>
  <si>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</si>
  <si>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</si>
  <si>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</si>
  <si>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</si>
  <si>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</si>
  <si>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</si>
  <si>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</si>
  <si>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</si>
  <si>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</si>
  <si>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</si>
  <si>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</si>
  <si>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</si>
  <si>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</si>
  <si>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</si>
  <si>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</si>
  <si>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</si>
  <si>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</si>
  <si>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</si>
  <si>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</si>
  <si>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</si>
  <si>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</si>
  <si>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</si>
  <si>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</si>
  <si>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</si>
  <si>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</si>
  <si>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</si>
  <si>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</si>
  <si>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</si>
  <si>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</si>
  <si>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</si>
  <si>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</si>
  <si>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</si>
  <si>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</si>
  <si>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</si>
  <si>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</si>
  <si>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</si>
  <si>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</si>
  <si>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</si>
  <si>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</si>
  <si>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</si>
  <si>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</si>
  <si>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</si>
  <si>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</si>
  <si>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</si>
  <si>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</si>
  <si>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</si>
  <si>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</si>
  <si>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</si>
  <si>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</si>
  <si>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</si>
  <si>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</si>
  <si>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</si>
  <si>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</si>
  <si>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</si>
  <si>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</si>
  <si>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</si>
  <si>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</si>
  <si>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</si>
  <si>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</si>
  <si>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</si>
  <si>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</si>
  <si>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</si>
  <si>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</si>
  <si>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</si>
  <si>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</si>
  <si>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</si>
  <si>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</si>
  <si>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</si>
  <si>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</si>
  <si>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</si>
  <si>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</si>
  <si>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</si>
  <si>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</si>
  <si>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</si>
  <si>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</si>
  <si>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</si>
  <si>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</si>
  <si>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</si>
  <si>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</si>
  <si>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</si>
  <si>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</si>
  <si>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</si>
  <si>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</si>
  <si>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</si>
  <si>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</si>
  <si>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</si>
  <si>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</si>
  <si>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</si>
  <si>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</si>
  <si>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</si>
  <si>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</si>
  <si>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</si>
  <si>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</si>
  <si>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</si>
  <si>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</si>
  <si>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</si>
  <si>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</si>
  <si>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</si>
  <si>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</si>
  <si>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</si>
  <si>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</si>
  <si>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</si>
  <si>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</si>
  <si>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</si>
  <si>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</si>
  <si>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</si>
  <si>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</si>
  <si>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</si>
  <si>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</si>
  <si>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</si>
  <si>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</si>
  <si>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</si>
  <si>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</si>
  <si>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</si>
  <si>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</si>
  <si>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</si>
  <si>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</si>
  <si>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</si>
  <si>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</si>
  <si>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</si>
  <si>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</si>
  <si>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</si>
  <si>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</si>
  <si>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</si>
  <si>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</si>
  <si>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</si>
  <si>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</si>
  <si>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</si>
  <si>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</si>
  <si>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</si>
  <si>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</si>
  <si>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</si>
  <si>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</si>
  <si>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</si>
  <si>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</si>
  <si>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</si>
  <si>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</si>
  <si>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</si>
  <si>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</si>
  <si>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</si>
  <si>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</si>
  <si>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</si>
  <si>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</si>
  <si>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</si>
  <si>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</si>
  <si>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</si>
  <si>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</si>
  <si>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</si>
  <si>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</si>
  <si>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</si>
  <si>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</si>
  <si>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</si>
  <si>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</si>
  <si>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</si>
  <si>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</si>
  <si>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</si>
  <si>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</si>
  <si>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</si>
  <si>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</si>
  <si>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</si>
  <si>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</si>
  <si>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</si>
  <si>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</si>
  <si>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</si>
  <si>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</si>
  <si>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</si>
  <si>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</si>
  <si>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</si>
  <si>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</si>
  <si>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</si>
  <si>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</si>
  <si>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</si>
  <si>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</si>
  <si>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</si>
  <si>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</si>
  <si>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</si>
  <si>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</si>
  <si>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</si>
  <si>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</si>
  <si>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</si>
  <si>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</si>
  <si>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</si>
  <si>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</si>
  <si>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</si>
  <si>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</si>
  <si>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</si>
  <si>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</si>
  <si>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</si>
  <si>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</si>
  <si>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</si>
  <si>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</si>
  <si>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</si>
  <si>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</si>
  <si>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</si>
  <si>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</si>
  <si>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</si>
  <si>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</si>
  <si>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</si>
  <si>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</si>
  <si>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</si>
  <si>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</si>
  <si>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</si>
  <si>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</si>
  <si>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</si>
  <si>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</si>
  <si>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</si>
  <si>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</si>
  <si>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</si>
  <si>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</si>
  <si>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</si>
  <si>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</si>
  <si>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</si>
  <si>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</si>
  <si>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</si>
  <si>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</si>
  <si>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</si>
  <si>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</si>
  <si>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</si>
  <si>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</si>
  <si>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</si>
  <si>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</si>
  <si>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</si>
  <si>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</si>
  <si>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</si>
  <si>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</si>
  <si>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</si>
  <si>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</si>
  <si>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</si>
  <si>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</si>
  <si>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</si>
  <si>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</si>
  <si>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</si>
  <si>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</si>
  <si>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</si>
  <si>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</si>
  <si>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</si>
  <si>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</si>
  <si>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</si>
  <si>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</si>
  <si>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</si>
  <si>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</si>
  <si>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</si>
  <si>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</si>
  <si>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</si>
  <si>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</si>
  <si>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</si>
  <si>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</si>
  <si>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</si>
  <si>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</si>
  <si>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</si>
  <si>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</si>
  <si>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</si>
  <si>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</si>
  <si>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</si>
  <si>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</si>
  <si>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</si>
  <si>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</si>
  <si>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</si>
  <si>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</si>
  <si>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</si>
  <si>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</si>
  <si>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</si>
  <si>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</si>
  <si>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</si>
  <si>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</si>
  <si>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</si>
  <si>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</si>
  <si>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</si>
  <si>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</si>
  <si>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</si>
  <si>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</si>
  <si>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</si>
  <si>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</si>
  <si>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</si>
  <si>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</si>
  <si>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</si>
  <si>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</si>
  <si>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</si>
  <si>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</si>
  <si>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</si>
  <si>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</si>
  <si>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</si>
  <si>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</si>
  <si>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</si>
  <si>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</si>
  <si>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</si>
  <si>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</si>
  <si>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</si>
  <si>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</si>
  <si>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</si>
  <si>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</si>
  <si>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</si>
  <si>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</si>
  <si>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</si>
  <si>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</si>
  <si>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</si>
  <si>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</si>
  <si>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</si>
  <si>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</si>
  <si>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</si>
  <si>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</si>
  <si>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</si>
  <si>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</si>
  <si>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</si>
  <si>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</si>
  <si>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</si>
  <si>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</si>
  <si>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</si>
  <si>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</si>
  <si>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</si>
  <si>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</si>
  <si>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</si>
  <si>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</si>
  <si>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</si>
  <si>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</si>
  <si>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</si>
  <si>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</si>
  <si>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</si>
  <si>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</si>
  <si>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</si>
  <si>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</si>
  <si>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</si>
  <si>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</si>
  <si>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</si>
  <si>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</si>
  <si>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</si>
  <si>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</si>
  <si>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</si>
  <si>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</si>
  <si>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</si>
  <si>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</si>
  <si>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</si>
  <si>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</si>
  <si>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</si>
  <si>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</si>
  <si>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</si>
  <si>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</si>
  <si>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</si>
  <si>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</si>
  <si>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</si>
  <si>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</si>
  <si>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</si>
  <si>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</si>
  <si>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</si>
  <si>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</si>
  <si>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</si>
  <si>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</si>
  <si>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</si>
  <si>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</si>
  <si>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</si>
  <si>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</si>
  <si>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</si>
  <si>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</si>
  <si>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</si>
  <si>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</si>
  <si>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</si>
  <si>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</si>
  <si>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</si>
  <si>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</si>
  <si>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</si>
  <si>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</si>
  <si>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</si>
  <si>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</si>
  <si>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</si>
  <si>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</si>
  <si>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</si>
  <si>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</si>
  <si>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</si>
  <si>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</si>
  <si>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</si>
  <si>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</si>
  <si>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</si>
  <si>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</si>
  <si>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</si>
  <si>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</si>
  <si>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</si>
  <si>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</si>
  <si>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</si>
  <si>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</si>
  <si>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</si>
  <si>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</si>
  <si>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</si>
  <si>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</si>
  <si>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</si>
  <si>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</si>
  <si>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</si>
  <si>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</si>
  <si>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</si>
  <si>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</si>
  <si>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</si>
  <si>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</si>
  <si>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</si>
  <si>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</si>
  <si>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</si>
  <si>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</si>
  <si>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</si>
  <si>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</si>
  <si>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</si>
  <si>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</si>
  <si>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</si>
  <si>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</si>
  <si>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</si>
  <si>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</si>
  <si>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</si>
  <si>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</si>
  <si>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</si>
  <si>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</si>
  <si>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</si>
  <si>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</si>
  <si>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</si>
  <si>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</si>
  <si>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</si>
  <si>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</si>
  <si>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</si>
  <si>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</si>
  <si>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</si>
  <si>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</si>
  <si>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</si>
  <si>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</si>
  <si>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</si>
  <si>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</si>
  <si>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</si>
  <si>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</si>
  <si>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</si>
  <si>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</si>
  <si>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</si>
  <si>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</si>
  <si>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</si>
  <si>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</si>
  <si>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</si>
  <si>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</si>
  <si>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</si>
  <si>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</si>
  <si>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</si>
  <si>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</si>
  <si>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</si>
  <si>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</si>
  <si>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</si>
  <si>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</si>
  <si>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</si>
  <si>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</si>
  <si>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</si>
  <si>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</si>
  <si>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</si>
  <si>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</si>
  <si>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</si>
  <si>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</si>
  <si>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</si>
  <si>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</si>
  <si>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</si>
  <si>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</si>
  <si>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</si>
  <si>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</si>
  <si>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</si>
  <si>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</si>
  <si>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</si>
  <si>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</si>
  <si>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</si>
  <si>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</si>
  <si>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</si>
  <si>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</si>
  <si>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</si>
  <si>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</si>
  <si>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</si>
  <si>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</si>
  <si>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</si>
  <si>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</si>
  <si>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</si>
  <si>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</si>
  <si>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</si>
  <si>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</si>
  <si>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</si>
  <si>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</si>
  <si>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</si>
  <si>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</si>
  <si>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</si>
  <si>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</si>
  <si>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</si>
  <si>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</si>
  <si>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</si>
  <si>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</si>
  <si>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</si>
  <si>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</si>
  <si>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</si>
  <si>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</si>
  <si>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</si>
  <si>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</si>
  <si>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</si>
  <si>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</si>
  <si>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</si>
  <si>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</si>
  <si>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</si>
  <si>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</si>
  <si>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</si>
  <si>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</si>
  <si>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</si>
  <si>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</si>
  <si>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</si>
  <si>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</si>
  <si>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</si>
  <si>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</si>
  <si>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</si>
  <si>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</si>
  <si>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</si>
  <si>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</si>
  <si>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</si>
  <si>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</si>
  <si>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</si>
  <si>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</si>
  <si>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</si>
  <si>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</si>
  <si>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</si>
  <si>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</si>
  <si>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</si>
  <si>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</si>
  <si>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</si>
  <si>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</si>
  <si>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</si>
  <si>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</si>
  <si>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</si>
  <si>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</si>
  <si>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</si>
  <si>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</si>
  <si>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</si>
  <si>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</si>
  <si>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</si>
  <si>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</si>
  <si>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</si>
  <si>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</si>
  <si>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</si>
  <si>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</si>
  <si>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</si>
  <si>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</si>
  <si>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</si>
  <si>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</si>
  <si>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</si>
  <si>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</si>
  <si>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</si>
  <si>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</si>
  <si>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</si>
  <si>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</si>
  <si>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</si>
  <si>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</si>
  <si>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</si>
  <si>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</si>
  <si>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</si>
  <si>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</si>
  <si>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</si>
  <si>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</si>
  <si>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</si>
  <si>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</si>
  <si>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</si>
  <si>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</si>
  <si>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</si>
  <si>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</si>
  <si>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</si>
  <si>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</si>
  <si>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</si>
  <si>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</si>
  <si>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</si>
  <si>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</si>
  <si>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</si>
  <si>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</si>
  <si>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</si>
  <si>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</si>
  <si>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</si>
  <si>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</si>
  <si>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</si>
  <si>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</si>
  <si>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</si>
  <si>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</si>
  <si>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</si>
  <si>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</si>
  <si>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</si>
  <si>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</si>
  <si>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</si>
  <si>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</si>
  <si>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</si>
  <si>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</si>
  <si>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</si>
  <si>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</si>
  <si>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</si>
  <si>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</si>
  <si>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</si>
  <si>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</si>
  <si>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</si>
  <si>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</si>
  <si>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</si>
  <si>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</si>
  <si>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</si>
  <si>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</si>
  <si>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</si>
  <si>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</si>
  <si>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</si>
  <si>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</si>
  <si>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</si>
  <si>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</si>
  <si>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</si>
  <si>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</si>
  <si>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</si>
  <si>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</si>
  <si>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</si>
  <si>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</si>
  <si>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</si>
  <si>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</si>
  <si>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</si>
  <si>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</si>
  <si>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</si>
  <si>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</si>
  <si>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</si>
  <si>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</si>
  <si>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</si>
  <si>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</si>
  <si>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</si>
  <si>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</si>
  <si>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</si>
  <si>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</si>
  <si>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</si>
  <si>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</si>
  <si>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</si>
  <si>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</si>
  <si>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</si>
  <si>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</si>
  <si>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</si>
  <si>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</si>
  <si>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</si>
  <si>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</si>
  <si>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</si>
  <si>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</si>
  <si>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</si>
  <si>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</si>
  <si>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</si>
  <si>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</si>
  <si>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</si>
  <si>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</si>
  <si>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</si>
  <si>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</si>
  <si>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</si>
  <si>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</si>
  <si>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</si>
  <si>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</si>
  <si>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</si>
  <si>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</si>
  <si>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</si>
  <si>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</si>
  <si>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</si>
  <si>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</si>
  <si>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</si>
  <si>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</si>
  <si>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</si>
  <si>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</si>
  <si>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</si>
  <si>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</si>
  <si>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</si>
  <si>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</si>
  <si>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</si>
  <si>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</si>
  <si>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</si>
  <si>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</si>
  <si>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</si>
  <si>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</si>
  <si>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</si>
  <si>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</si>
  <si>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</si>
  <si>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</si>
  <si>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</si>
  <si>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</si>
  <si>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</si>
  <si>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</si>
  <si>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</si>
  <si>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</si>
  <si>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</si>
  <si>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</si>
  <si>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</si>
  <si>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</si>
  <si>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</si>
  <si>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</si>
  <si>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</si>
  <si>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</si>
  <si>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</si>
  <si>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</si>
  <si>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</si>
  <si>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</si>
  <si>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</si>
  <si>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</si>
  <si>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</si>
  <si>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</si>
  <si>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</si>
  <si>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</si>
  <si>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</si>
  <si>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</si>
  <si>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</si>
  <si>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</si>
  <si>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</si>
  <si>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</si>
  <si>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</si>
  <si>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</si>
  <si>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</si>
  <si>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</si>
  <si>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</si>
  <si>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</si>
  <si>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</si>
  <si>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</si>
  <si>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</si>
  <si>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</si>
  <si>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</si>
  <si>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</si>
  <si>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</si>
  <si>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</si>
  <si>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</si>
  <si>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</si>
  <si>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</si>
  <si>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</si>
  <si>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</si>
  <si>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</si>
  <si>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</si>
  <si>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</si>
  <si>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</si>
  <si>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</si>
  <si>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</si>
  <si>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</si>
  <si>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</si>
  <si>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</si>
  <si>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</si>
  <si>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</si>
  <si>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</si>
  <si>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</si>
  <si>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</si>
  <si>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</si>
  <si>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</si>
  <si>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</si>
  <si>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</si>
  <si>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</si>
  <si>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</si>
  <si>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</si>
  <si>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</si>
  <si>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</si>
  <si>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</si>
  <si>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</si>
  <si>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</si>
  <si>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</si>
  <si>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</si>
  <si>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</si>
  <si>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</si>
  <si>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</si>
  <si>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</si>
  <si>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</si>
  <si>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</si>
  <si>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</si>
  <si>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</si>
  <si>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</si>
  <si>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</si>
  <si>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</si>
  <si>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</si>
  <si>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</si>
  <si>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</si>
  <si>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</si>
  <si>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</si>
  <si>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</si>
  <si>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</si>
  <si>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</si>
  <si>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</si>
  <si>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</si>
  <si>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</si>
  <si>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</si>
  <si>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</si>
  <si>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</si>
  <si>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</si>
  <si>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</si>
  <si>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</si>
  <si>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</si>
  <si>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</si>
  <si>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</si>
  <si>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</si>
  <si>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</si>
  <si>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</si>
  <si>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</si>
  <si>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</si>
  <si>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</si>
  <si>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</si>
  <si>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</si>
  <si>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</si>
  <si>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</si>
  <si>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</si>
  <si>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</si>
  <si>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</si>
  <si>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</si>
  <si>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</si>
  <si>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</si>
  <si>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</si>
  <si>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</si>
  <si>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</si>
  <si>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</si>
  <si>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</si>
  <si>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</si>
  <si>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</si>
  <si>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</si>
  <si>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</si>
  <si>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</si>
  <si>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</si>
  <si>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</si>
  <si>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</si>
  <si>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</si>
  <si>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</si>
  <si>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</si>
  <si>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</si>
  <si>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</si>
  <si>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</si>
  <si>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</si>
  <si>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</si>
  <si>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</si>
  <si>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</si>
  <si>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</si>
  <si>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</si>
  <si>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</si>
  <si>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</si>
  <si>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</si>
  <si>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</si>
  <si>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</si>
  <si>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</si>
  <si>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</si>
  <si>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</si>
  <si>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</si>
  <si>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</si>
  <si>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</si>
  <si>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</si>
  <si>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</si>
  <si>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</si>
  <si>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</si>
  <si>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</si>
  <si>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</si>
  <si>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</si>
  <si>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</si>
  <si>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</si>
  <si>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</si>
  <si>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</si>
  <si>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</si>
  <si>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</si>
  <si>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</si>
  <si>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</si>
  <si>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</si>
  <si>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</si>
  <si>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</si>
  <si>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</si>
  <si>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</si>
  <si>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</si>
  <si>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</si>
  <si>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</si>
  <si>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</si>
  <si>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</si>
  <si>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</si>
  <si>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</si>
  <si>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</si>
  <si>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</si>
  <si>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</si>
  <si>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</si>
  <si>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</si>
  <si>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</si>
  <si>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</si>
  <si>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</si>
  <si>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</si>
  <si>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</si>
  <si>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</si>
  <si>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</si>
  <si>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</si>
  <si>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</si>
  <si>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</si>
  <si>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</si>
  <si>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</si>
  <si>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</si>
  <si>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</si>
  <si>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</si>
  <si>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</si>
  <si>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</si>
  <si>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</si>
  <si>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</si>
  <si>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</si>
  <si>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</si>
  <si>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</si>
  <si>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</si>
  <si>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</si>
  <si>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</si>
  <si>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</si>
  <si>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</si>
  <si>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</si>
  <si>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</si>
  <si>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</si>
  <si>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</si>
  <si>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</si>
  <si>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</si>
  <si>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</si>
  <si>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</si>
  <si>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</si>
  <si>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</si>
  <si>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</si>
  <si>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</si>
  <si>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</si>
  <si>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</si>
  <si>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</si>
  <si>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</si>
  <si>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</si>
  <si>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</si>
  <si>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</si>
  <si>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</si>
  <si>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</si>
  <si>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</si>
  <si>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</si>
  <si>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</si>
  <si>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</si>
  <si>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</si>
  <si>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</si>
  <si>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</si>
  <si>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</si>
  <si>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</si>
  <si>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</si>
  <si>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</si>
  <si>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</si>
  <si>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</si>
  <si>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</si>
  <si>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</si>
  <si>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</si>
  <si>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</si>
  <si>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</si>
  <si>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</si>
  <si>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</si>
  <si>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</si>
  <si>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</si>
  <si>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</si>
  <si>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</si>
  <si>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</si>
  <si>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</si>
  <si>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</si>
  <si>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</si>
  <si>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</si>
  <si>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</si>
  <si>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</si>
  <si>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</si>
  <si>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</si>
  <si>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</si>
  <si>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</si>
  <si>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</si>
  <si>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</si>
  <si>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</si>
  <si>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</si>
  <si>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</si>
  <si>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</si>
  <si>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</si>
  <si>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</si>
  <si>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</si>
  <si>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</si>
  <si>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</si>
  <si>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</si>
  <si>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</si>
  <si>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</si>
  <si>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</si>
  <si>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</si>
  <si>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</si>
  <si>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</si>
  <si>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</si>
  <si>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</si>
  <si>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</si>
  <si>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</si>
  <si>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</si>
  <si>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</si>
  <si>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</si>
  <si>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</si>
  <si>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</si>
  <si>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</si>
  <si>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</si>
  <si>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</si>
  <si>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</si>
  <si>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</si>
  <si>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</si>
  <si>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</si>
  <si>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</si>
  <si>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</si>
  <si>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</si>
  <si>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</si>
  <si>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</si>
  <si>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</si>
  <si>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</si>
  <si>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</si>
  <si>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</si>
  <si>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</si>
  <si>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</si>
  <si>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</si>
  <si>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</si>
  <si>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</si>
  <si>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</si>
  <si>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</si>
  <si>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</si>
  <si>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</si>
  <si>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</si>
  <si>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</si>
  <si>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</si>
  <si>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</si>
  <si>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</si>
  <si>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</si>
  <si>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</si>
  <si>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</si>
  <si>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</si>
  <si>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</si>
  <si>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</si>
  <si>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</si>
  <si>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</si>
  <si>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</si>
  <si>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</si>
  <si>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</si>
  <si>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</si>
  <si>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</si>
  <si>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</si>
  <si>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</si>
  <si>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</si>
  <si>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</si>
  <si>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</si>
  <si>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</si>
  <si>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</si>
  <si>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</si>
  <si>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</si>
  <si>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</si>
  <si>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</si>
  <si>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</si>
  <si>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</si>
  <si>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</si>
  <si>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</si>
  <si>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</si>
  <si>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</si>
  <si>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</si>
  <si>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</si>
  <si>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</si>
  <si>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</si>
  <si>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</si>
  <si>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</si>
  <si>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</si>
  <si>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</si>
  <si>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</si>
  <si>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</si>
  <si>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</si>
  <si>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</si>
  <si>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</si>
  <si>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</si>
  <si>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</si>
  <si>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</si>
  <si>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</si>
  <si>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</si>
  <si>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</si>
  <si>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</si>
  <si>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</si>
  <si>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</si>
  <si>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</si>
  <si>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</si>
  <si>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</si>
  <si>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</si>
  <si>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</si>
  <si>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</si>
  <si>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</si>
  <si>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</si>
  <si>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</si>
  <si>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</si>
  <si>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</si>
  <si>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</si>
  <si>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</si>
  <si>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</si>
  <si>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</si>
  <si>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</si>
  <si>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</si>
  <si>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</si>
  <si>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</si>
  <si>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</si>
  <si>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</si>
  <si>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</si>
  <si>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</si>
  <si>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</si>
  <si>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</si>
  <si>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</si>
  <si>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</si>
  <si>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</si>
  <si>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</si>
  <si>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</si>
  <si>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</si>
  <si>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</si>
  <si>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</si>
  <si>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</si>
  <si>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</si>
  <si>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</si>
  <si>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</si>
  <si>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</si>
  <si>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</si>
  <si>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</si>
  <si>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</si>
  <si>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</si>
  <si>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</si>
  <si>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</si>
  <si>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</si>
  <si>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</si>
  <si>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</si>
  <si>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</si>
  <si>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</si>
  <si>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</si>
  <si>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</si>
  <si>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</si>
  <si>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</si>
  <si>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</si>
  <si>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</si>
  <si>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</si>
  <si>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</si>
  <si>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</si>
  <si>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</si>
  <si>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</si>
  <si>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</si>
  <si>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</si>
  <si>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</si>
  <si>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</si>
  <si>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</si>
  <si>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</si>
  <si>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</si>
  <si>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</si>
  <si>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</si>
  <si>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</si>
  <si>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</si>
  <si>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</si>
  <si>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</si>
  <si>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</si>
  <si>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</si>
  <si>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</si>
  <si>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</si>
  <si>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</si>
  <si>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</si>
  <si>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</si>
  <si>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</si>
  <si>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</si>
  <si>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</si>
  <si>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</si>
  <si>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</si>
  <si>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</si>
  <si>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</si>
  <si>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</si>
  <si>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</si>
  <si>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</si>
  <si>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</si>
  <si>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</si>
  <si>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</si>
  <si>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</si>
  <si>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</si>
  <si>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</si>
  <si>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</si>
  <si>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</si>
  <si>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</si>
  <si>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</si>
  <si>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</si>
  <si>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</si>
  <si>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</si>
  <si>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</si>
  <si>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</si>
  <si>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</si>
  <si>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</si>
  <si>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</si>
  <si>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</si>
  <si>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</si>
  <si>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</si>
  <si>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</si>
  <si>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</si>
  <si>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</si>
  <si>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</si>
  <si>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</si>
  <si>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</si>
  <si>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</si>
  <si>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</si>
  <si>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</si>
  <si>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</si>
  <si>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</si>
  <si>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</si>
  <si>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</si>
  <si>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</si>
  <si>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</si>
  <si>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</si>
  <si>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</si>
  <si>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</si>
  <si>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</si>
  <si>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</si>
  <si>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</si>
  <si>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</si>
  <si>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</si>
  <si>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</si>
  <si>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</si>
  <si>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</si>
  <si>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</si>
  <si>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</si>
  <si>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</si>
  <si>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</si>
  <si>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</si>
  <si>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</si>
  <si>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</si>
  <si>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</si>
  <si>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</si>
  <si>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</si>
  <si>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</si>
  <si>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</si>
  <si>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</si>
  <si>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</si>
  <si>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</si>
  <si>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</si>
  <si>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</si>
  <si>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</si>
  <si>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</si>
  <si>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</si>
  <si>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</si>
  <si>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</si>
  <si>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</si>
  <si>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</si>
  <si>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</si>
  <si>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</si>
  <si>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</si>
  <si>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</si>
  <si>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</si>
  <si>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</si>
  <si>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</si>
  <si>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</si>
  <si>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</si>
  <si>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</si>
  <si>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</si>
  <si>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</si>
  <si>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</si>
  <si>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</si>
  <si>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</si>
  <si>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</si>
  <si>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</si>
  <si>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</si>
  <si>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</si>
  <si>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</si>
  <si>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</si>
  <si>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</si>
  <si>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</si>
  <si>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</si>
  <si>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</si>
  <si>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</si>
  <si>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</si>
  <si>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</si>
  <si>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</si>
  <si>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</si>
  <si>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</si>
  <si>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</si>
  <si>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</si>
  <si>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</si>
  <si>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</si>
  <si>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</si>
  <si>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</si>
  <si>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</si>
  <si>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</si>
  <si>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</si>
  <si>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</si>
  <si>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</si>
  <si>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</si>
  <si>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</si>
  <si>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</si>
  <si>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</si>
  <si>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</si>
  <si>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</si>
  <si>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</si>
  <si>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</si>
  <si>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</si>
  <si>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</si>
  <si>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</si>
  <si>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</si>
  <si>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</si>
  <si>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</si>
  <si>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</si>
  <si>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</si>
  <si>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</si>
  <si>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</si>
  <si>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</si>
  <si>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</si>
  <si>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</si>
  <si>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</si>
  <si>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</si>
  <si>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</si>
  <si>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</si>
  <si>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</si>
  <si>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</si>
  <si>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</si>
  <si>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</si>
  <si>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</si>
  <si>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</si>
  <si>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</si>
  <si>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</si>
  <si>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</si>
  <si>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</si>
  <si>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</si>
  <si>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</si>
  <si>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</si>
  <si>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</si>
  <si>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</si>
  <si>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</si>
  <si>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</si>
  <si>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</si>
  <si>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</si>
  <si>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</si>
  <si>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</si>
  <si>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</si>
  <si>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</si>
  <si>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</si>
  <si>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</si>
  <si>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</si>
  <si>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</si>
  <si>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</si>
  <si>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</si>
  <si>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</si>
  <si>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</si>
  <si>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</si>
  <si>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</si>
  <si>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</si>
  <si>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</si>
  <si>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</si>
  <si>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</si>
  <si>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</si>
  <si>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</si>
  <si>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</si>
  <si>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</si>
  <si>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</si>
  <si>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</si>
  <si>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</si>
  <si>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</si>
  <si>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</si>
  <si>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</si>
  <si>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</si>
  <si>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</si>
  <si>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</si>
  <si>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</si>
  <si>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</si>
  <si>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</si>
  <si>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</si>
  <si>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</si>
  <si>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</si>
  <si>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</si>
  <si>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</si>
  <si>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</si>
  <si>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</si>
  <si>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</si>
  <si>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</si>
  <si>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</si>
  <si>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</si>
  <si>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</si>
  <si>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</si>
  <si>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</si>
  <si>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</si>
  <si>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</si>
  <si>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</si>
  <si>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</si>
  <si>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</si>
  <si>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</si>
  <si>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</si>
  <si>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</si>
  <si>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</si>
  <si>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</si>
  <si>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</si>
  <si>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</si>
  <si>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</si>
  <si>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</si>
  <si>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</si>
  <si>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</si>
  <si>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</si>
  <si>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</si>
  <si>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</si>
  <si>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</si>
  <si>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</si>
  <si>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</si>
  <si>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</si>
  <si>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</si>
  <si>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</si>
  <si>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</si>
  <si>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</si>
  <si>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</si>
  <si>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</si>
  <si>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</si>
  <si>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</si>
  <si>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</si>
  <si>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</si>
  <si>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</si>
  <si>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</si>
  <si>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</si>
  <si>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</si>
  <si>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</si>
  <si>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</si>
  <si>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</si>
  <si>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</si>
  <si>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</si>
  <si>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</si>
  <si>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</si>
  <si>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</si>
  <si>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</si>
  <si>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</si>
  <si>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</si>
  <si>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</si>
  <si>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</si>
  <si>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</si>
  <si>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</si>
  <si>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</si>
  <si>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</si>
  <si>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</si>
  <si>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</si>
  <si>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</si>
  <si>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</si>
  <si>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</si>
  <si>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</si>
  <si>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</si>
  <si>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</si>
  <si>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</si>
  <si>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</si>
  <si>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</si>
  <si>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</si>
  <si>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</si>
  <si>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</si>
  <si>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</si>
  <si>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</si>
  <si>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</si>
  <si>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</si>
  <si>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</si>
  <si>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</si>
  <si>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</si>
  <si>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</si>
  <si>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</si>
  <si>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</si>
  <si>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</si>
  <si>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</si>
  <si>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</si>
  <si>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</si>
  <si>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</si>
  <si>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</si>
  <si>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</si>
  <si>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</si>
  <si>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</si>
  <si>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</si>
  <si>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</si>
  <si>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</si>
  <si>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</si>
  <si>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</si>
  <si>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</si>
  <si>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</si>
  <si>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</si>
  <si>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</si>
  <si>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</si>
  <si>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</si>
  <si>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</si>
  <si>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</si>
  <si>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</si>
  <si>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</si>
  <si>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</si>
  <si>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</si>
  <si>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</si>
  <si>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</si>
  <si>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</si>
  <si>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</si>
  <si>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</si>
  <si>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</si>
  <si>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</si>
  <si>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</si>
  <si>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</si>
  <si>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</si>
  <si>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</si>
  <si>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</si>
  <si>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</si>
  <si>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</si>
  <si>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</si>
  <si>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</si>
  <si>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</si>
  <si>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</si>
  <si>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</si>
  <si>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</si>
  <si>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</si>
  <si>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</si>
  <si>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</si>
  <si>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</si>
  <si>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</si>
  <si>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</si>
  <si>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</si>
  <si>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</si>
  <si>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</si>
  <si>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</si>
  <si>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</si>
  <si>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</si>
  <si>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</si>
  <si>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</si>
  <si>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</si>
  <si>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</si>
  <si>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</si>
  <si>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</si>
  <si>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</si>
  <si>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</si>
  <si>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</si>
  <si>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</si>
  <si>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</si>
  <si>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</si>
  <si>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</si>
  <si>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</si>
  <si>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</si>
  <si>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</si>
  <si>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</si>
  <si>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</si>
  <si>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</si>
  <si>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</si>
  <si>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</si>
  <si>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</si>
  <si>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</si>
  <si>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</si>
  <si>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</si>
  <si>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</si>
  <si>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</si>
  <si>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</si>
  <si>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</si>
  <si>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</si>
  <si>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</si>
  <si>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</si>
  <si>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</si>
  <si>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</si>
  <si>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</si>
  <si>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</si>
  <si>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</si>
  <si>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</si>
  <si>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</si>
  <si>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</si>
  <si>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</si>
  <si>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</si>
  <si>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</si>
  <si>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</si>
  <si>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</si>
  <si>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</si>
  <si>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</si>
  <si>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</si>
  <si>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</si>
  <si>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</si>
  <si>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</si>
  <si>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</si>
  <si>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</si>
  <si>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</si>
  <si>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</si>
  <si>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</si>
  <si>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</si>
  <si>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</si>
  <si>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</si>
  <si>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</si>
  <si>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</si>
  <si>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</si>
  <si>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</si>
  <si>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</si>
  <si>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</si>
  <si>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</si>
  <si>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</si>
  <si>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</si>
  <si>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</si>
  <si>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</si>
  <si>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</si>
  <si>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</si>
  <si>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</si>
  <si>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</si>
  <si>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</si>
  <si>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</si>
  <si>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</si>
  <si>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</si>
  <si>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</si>
  <si>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</si>
  <si>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</si>
  <si>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</si>
  <si>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</si>
  <si>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</si>
  <si>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</si>
  <si>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</si>
  <si>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</si>
  <si>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</si>
  <si>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</si>
  <si>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</si>
  <si>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</si>
  <si>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</si>
  <si>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</si>
  <si>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</si>
  <si>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</si>
  <si>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</si>
  <si>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</si>
  <si>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</si>
  <si>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</si>
  <si>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</si>
  <si>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</si>
  <si>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</si>
  <si>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</si>
  <si>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</si>
  <si>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</si>
  <si>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</si>
  <si>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</si>
  <si>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</si>
  <si>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</si>
  <si>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</si>
  <si>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</si>
  <si>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</si>
  <si>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</si>
  <si>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</si>
  <si>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</si>
  <si>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</si>
  <si>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</si>
  <si>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</si>
  <si>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</si>
  <si>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</si>
  <si>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</si>
  <si>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</si>
  <si>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</si>
  <si>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</si>
  <si>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</si>
  <si>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</si>
  <si>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</si>
  <si>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</si>
  <si>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</si>
  <si>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</si>
  <si>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</si>
  <si>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</si>
  <si>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</si>
  <si>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</si>
  <si>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</si>
  <si>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</si>
  <si>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</si>
  <si>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</si>
  <si>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</si>
  <si>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</si>
  <si>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</si>
  <si>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</si>
  <si>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</si>
  <si>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</si>
  <si>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</si>
  <si>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</si>
  <si>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</si>
  <si>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</si>
  <si>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</si>
  <si>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</si>
  <si>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</si>
  <si>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</si>
  <si>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</si>
  <si>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</si>
  <si>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</si>
  <si>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</si>
  <si>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</si>
  <si>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</si>
  <si>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</si>
  <si>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</si>
  <si>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</si>
  <si>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</si>
  <si>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</si>
  <si>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</si>
  <si>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</si>
  <si>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</si>
  <si>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</si>
  <si>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</si>
  <si>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</si>
  <si>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</si>
  <si>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</si>
  <si>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</si>
  <si>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</si>
  <si>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</si>
  <si>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</si>
  <si>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</si>
  <si>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</si>
  <si>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</si>
  <si>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</si>
  <si>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</si>
  <si>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</si>
  <si>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</si>
  <si>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</si>
  <si>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</si>
  <si>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</si>
  <si>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</si>
  <si>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</si>
  <si>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</si>
  <si>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</si>
  <si>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</si>
  <si>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</si>
  <si>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</si>
  <si>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</si>
  <si>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</si>
  <si>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</si>
  <si>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</si>
  <si>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</si>
  <si>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</si>
  <si>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</si>
  <si>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</si>
  <si>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</si>
  <si>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</si>
  <si>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</si>
  <si>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</si>
  <si>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</si>
  <si>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</si>
  <si>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</si>
  <si>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</si>
  <si>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</si>
  <si>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</si>
  <si>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</si>
  <si>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</si>
  <si>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</si>
  <si>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</si>
  <si>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</si>
  <si>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</si>
  <si>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</si>
  <si>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</si>
  <si>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</si>
  <si>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</si>
  <si>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</si>
  <si>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</si>
  <si>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</si>
  <si>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</si>
  <si>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</si>
  <si>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</si>
  <si>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</si>
  <si>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</si>
  <si>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</si>
  <si>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</si>
  <si>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</si>
  <si>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</si>
  <si>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</si>
  <si>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</si>
  <si>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</si>
  <si>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</si>
  <si>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</si>
  <si>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</si>
  <si>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</si>
  <si>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</si>
  <si>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</si>
  <si>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</si>
  <si>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</si>
  <si>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</si>
  <si>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</si>
  <si>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</si>
  <si>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</si>
  <si>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</si>
  <si>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</si>
  <si>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</si>
  <si>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</si>
  <si>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</si>
  <si>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</si>
  <si>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</si>
  <si>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</si>
  <si>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</si>
  <si>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</si>
  <si>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</si>
  <si>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</si>
  <si>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</si>
  <si>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</si>
  <si>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</si>
  <si>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</si>
  <si>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</si>
  <si>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</si>
  <si>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</si>
  <si>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</si>
  <si>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</si>
  <si>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</si>
  <si>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</si>
  <si>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</si>
  <si>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</si>
  <si>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</si>
  <si>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</si>
  <si>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</si>
  <si>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</si>
  <si>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</si>
  <si>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</si>
  <si>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</si>
  <si>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</si>
  <si>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</si>
  <si>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</si>
  <si>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</si>
  <si>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</si>
  <si>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</si>
  <si>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</si>
  <si>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</si>
  <si>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</si>
  <si>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</si>
  <si>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</si>
  <si>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</si>
  <si>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</si>
  <si>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</si>
  <si>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</si>
  <si>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</si>
  <si>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</si>
  <si>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</si>
  <si>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</si>
  <si>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</si>
  <si>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</si>
  <si>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</si>
  <si>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</si>
  <si>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</si>
  <si>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</si>
  <si>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</si>
  <si>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</si>
  <si>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</si>
  <si>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</si>
  <si>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</si>
  <si>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</si>
  <si>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</si>
  <si>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</si>
  <si>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</si>
  <si>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</si>
  <si>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</si>
  <si>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</si>
  <si>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</si>
  <si>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</si>
  <si>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</si>
  <si>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</si>
  <si>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</si>
  <si>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</si>
  <si>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</si>
  <si>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</si>
  <si>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</si>
  <si>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</si>
  <si>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</si>
  <si>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</si>
  <si>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</si>
  <si>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</si>
  <si>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</si>
  <si>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</si>
  <si>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</si>
  <si>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</si>
  <si>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</si>
  <si>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</si>
  <si>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</si>
  <si>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</si>
  <si>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</si>
  <si>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</si>
  <si>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</si>
  <si>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</si>
  <si>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</si>
  <si>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</si>
  <si>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</si>
  <si>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</si>
  <si>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</si>
  <si>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</si>
  <si>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</si>
  <si>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</si>
  <si>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</si>
  <si>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</si>
  <si>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</si>
  <si>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</si>
  <si>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</si>
  <si>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</si>
  <si>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</si>
  <si>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</si>
  <si>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</si>
  <si>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</si>
  <si>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</si>
  <si>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</si>
  <si>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</si>
  <si>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</si>
  <si>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</si>
  <si>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</si>
  <si>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</si>
  <si>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</si>
  <si>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</si>
  <si>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</si>
  <si>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</si>
  <si>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</si>
  <si>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</si>
  <si>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</si>
  <si>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</si>
  <si>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</si>
  <si>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</si>
  <si>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</si>
  <si>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</si>
  <si>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</si>
  <si>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</si>
  <si>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</si>
  <si>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</si>
  <si>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</si>
  <si>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</si>
  <si>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</si>
  <si>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</si>
  <si>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</si>
  <si>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</si>
  <si>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</si>
  <si>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</si>
  <si>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</si>
  <si>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</si>
  <si>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</si>
  <si>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</si>
  <si>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</si>
  <si>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</si>
  <si>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</si>
  <si>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</si>
  <si>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</si>
  <si>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</si>
  <si>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</si>
  <si>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</si>
  <si>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</si>
  <si>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</si>
  <si>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</si>
  <si>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</si>
  <si>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</si>
  <si>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</si>
  <si>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</si>
  <si>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</si>
  <si>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</si>
  <si>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</si>
  <si>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</si>
  <si>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</si>
  <si>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</si>
  <si>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</si>
  <si>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</si>
  <si>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</si>
  <si>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</si>
  <si>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</si>
  <si>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</si>
  <si>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</si>
  <si>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</si>
  <si>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</si>
  <si>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</si>
  <si>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</si>
  <si>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</si>
  <si>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</si>
  <si>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</si>
  <si>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</si>
  <si>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</si>
  <si>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</si>
  <si>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</si>
  <si>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</si>
  <si>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</si>
  <si>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</si>
  <si>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</si>
  <si>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</si>
  <si>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</si>
  <si>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</si>
  <si>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</si>
  <si>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</si>
  <si>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</si>
  <si>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</si>
  <si>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</si>
  <si>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</si>
  <si>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</si>
  <si>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</si>
  <si>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</si>
  <si>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</si>
  <si>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</si>
  <si>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</si>
  <si>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</si>
  <si>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</si>
  <si>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</si>
  <si>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</si>
  <si>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</si>
  <si>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</si>
  <si>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</si>
  <si>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</si>
  <si>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</si>
  <si>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</si>
  <si>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</si>
  <si>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</si>
  <si>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</si>
  <si>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</si>
  <si>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</si>
  <si>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</si>
  <si>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</si>
  <si>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</si>
  <si>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</si>
  <si>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</si>
  <si>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</si>
  <si>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</si>
  <si>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</si>
  <si>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</si>
  <si>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</si>
  <si>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</si>
  <si>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</si>
  <si>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</si>
  <si>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</si>
  <si>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</si>
  <si>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</si>
  <si>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</si>
  <si>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</si>
  <si>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</si>
  <si>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</si>
  <si>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</si>
  <si>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</si>
  <si>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</si>
  <si>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</si>
  <si>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</si>
  <si>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</si>
  <si>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</si>
  <si>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</si>
  <si>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</si>
  <si>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</si>
  <si>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</si>
  <si>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</si>
  <si>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</si>
  <si>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</si>
  <si>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</si>
  <si>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</si>
  <si>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</si>
  <si>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</si>
  <si>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</si>
  <si>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</si>
  <si>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</si>
  <si>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</si>
  <si>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</si>
  <si>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</si>
  <si>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</si>
  <si>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</si>
  <si>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</si>
  <si>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</si>
  <si>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</si>
  <si>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</si>
  <si>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</si>
  <si>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</si>
  <si>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</si>
  <si>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</si>
  <si>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</si>
  <si>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</si>
  <si>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</si>
  <si>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</si>
  <si>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</si>
  <si>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</si>
  <si>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</si>
  <si>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</si>
  <si>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</si>
  <si>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</si>
  <si>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</si>
  <si>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</si>
  <si>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</si>
  <si>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</si>
  <si>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</si>
  <si>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</si>
  <si>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</si>
  <si>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</si>
  <si>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</si>
  <si>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</si>
  <si>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</si>
  <si>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</si>
  <si>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</si>
  <si>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</si>
  <si>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</si>
  <si>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</si>
  <si>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</si>
  <si>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</si>
  <si>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</si>
  <si>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</si>
  <si>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</si>
  <si>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</si>
  <si>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</si>
  <si>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</si>
  <si>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</si>
  <si>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</si>
  <si>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</si>
  <si>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</si>
  <si>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</si>
  <si>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</si>
  <si>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</si>
  <si>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</si>
  <si>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</si>
  <si>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</si>
  <si>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</si>
  <si>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</si>
  <si>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</si>
  <si>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</si>
  <si>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</si>
  <si>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</si>
  <si>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</si>
  <si>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</si>
  <si>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</si>
  <si>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</si>
  <si>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</si>
  <si>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</si>
  <si>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</si>
  <si>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</si>
  <si>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</si>
  <si>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</si>
  <si>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</si>
  <si>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</si>
  <si>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</si>
  <si>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</si>
  <si>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</si>
  <si>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</si>
  <si>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</si>
  <si>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</si>
  <si>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</si>
  <si>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</si>
  <si>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</si>
  <si>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</si>
  <si>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</si>
  <si>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</si>
  <si>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</si>
  <si>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</si>
  <si>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</si>
  <si>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</si>
  <si>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</si>
  <si>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</si>
  <si>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</si>
  <si>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</si>
  <si>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</si>
  <si>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</si>
  <si>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</si>
  <si>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</si>
  <si>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</si>
  <si>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</si>
  <si>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</si>
  <si>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</si>
  <si>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</si>
  <si>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</si>
  <si>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</si>
  <si>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</si>
  <si>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</si>
  <si>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</si>
  <si>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</si>
  <si>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</si>
  <si>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</si>
  <si>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</si>
  <si>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</si>
  <si>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</si>
  <si>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</si>
  <si>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</si>
  <si>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</si>
  <si>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</si>
  <si>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</si>
  <si>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</si>
  <si>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</si>
  <si>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</si>
  <si>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</si>
  <si>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</si>
  <si>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</si>
  <si>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</si>
  <si>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</si>
  <si>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</si>
  <si>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</si>
  <si>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</si>
  <si>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</si>
  <si>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</si>
  <si>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</si>
  <si>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</si>
  <si>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</si>
  <si>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</si>
  <si>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</si>
  <si>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</si>
  <si>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</si>
  <si>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</si>
  <si>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</si>
  <si>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</si>
  <si>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</si>
  <si>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</si>
  <si>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</si>
  <si>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</si>
  <si>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</si>
  <si>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</si>
  <si>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</si>
  <si>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</si>
  <si>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</si>
  <si>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</si>
  <si>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</si>
  <si>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</si>
  <si>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</si>
  <si>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</si>
  <si>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</si>
  <si>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</si>
  <si>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</si>
  <si>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</si>
  <si>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</si>
  <si>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</si>
  <si>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</si>
  <si>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</si>
  <si>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</si>
  <si>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</si>
  <si>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</si>
  <si>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</si>
  <si>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</si>
  <si>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</si>
  <si>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</si>
  <si>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</si>
  <si>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</si>
  <si>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</si>
  <si>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</si>
  <si>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</si>
  <si>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</si>
  <si>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</si>
  <si>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</si>
  <si>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</si>
  <si>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</si>
  <si>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</si>
  <si>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</si>
  <si>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</si>
  <si>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</si>
  <si>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</si>
  <si>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</si>
  <si>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</si>
  <si>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</si>
  <si>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</si>
  <si>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</si>
  <si>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</si>
  <si>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</si>
  <si>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</si>
  <si>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</si>
  <si>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</si>
  <si>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</si>
  <si>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</si>
  <si>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</si>
  <si>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</si>
  <si>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</si>
  <si>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</si>
  <si>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</si>
  <si>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</si>
  <si>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</si>
  <si>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</si>
  <si>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</si>
  <si>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</si>
  <si>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</si>
  <si>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</si>
  <si>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</si>
  <si>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</si>
  <si>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</si>
  <si>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</si>
  <si>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</si>
  <si>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</si>
  <si>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</si>
  <si>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</si>
  <si>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</si>
  <si>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</si>
  <si>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</si>
  <si>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</si>
  <si>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</si>
  <si>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</si>
  <si>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</si>
  <si>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</si>
  <si>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</si>
  <si>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</si>
  <si>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</si>
  <si>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</si>
  <si>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</si>
  <si>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</si>
  <si>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</si>
  <si>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</si>
  <si>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</si>
  <si>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</si>
  <si>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</si>
  <si>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</si>
  <si>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</si>
  <si>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</si>
  <si>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</si>
  <si>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</si>
  <si>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</si>
  <si>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</si>
  <si>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</si>
  <si>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</si>
  <si>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</si>
  <si>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</si>
  <si>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</si>
  <si>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</si>
  <si>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</si>
  <si>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</si>
  <si>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</si>
  <si>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</si>
  <si>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</si>
  <si>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</si>
  <si>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</si>
  <si>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</si>
  <si>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</si>
  <si>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</si>
  <si>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</si>
  <si>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</si>
  <si>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</si>
  <si>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</si>
  <si>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</si>
  <si>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</si>
  <si>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</si>
  <si>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</si>
  <si>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</si>
  <si>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</si>
  <si>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</si>
  <si>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</si>
  <si>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</si>
  <si>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</si>
  <si>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</si>
  <si>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</si>
  <si>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</si>
  <si>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</si>
  <si>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</si>
  <si>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</si>
  <si>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</si>
  <si>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</si>
  <si>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</si>
  <si>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</si>
  <si>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</si>
  <si>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</si>
  <si>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</si>
  <si>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</si>
  <si>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</si>
  <si>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</si>
  <si>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</si>
  <si>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</si>
  <si>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</si>
  <si>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</si>
  <si>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</si>
  <si>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</si>
  <si>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</si>
  <si>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</si>
  <si>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</si>
  <si>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</si>
  <si>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</si>
  <si>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</si>
  <si>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</si>
  <si>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</si>
  <si>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</si>
  <si>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</si>
  <si>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</si>
  <si>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</si>
  <si>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</si>
  <si>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</si>
  <si>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</si>
  <si>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</si>
  <si>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</si>
  <si>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</si>
  <si>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</si>
  <si>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</si>
  <si>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</si>
  <si>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</si>
  <si>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</si>
  <si>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</si>
  <si>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</si>
  <si>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</si>
  <si>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</si>
  <si>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</si>
  <si>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</si>
  <si>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</si>
  <si>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</si>
  <si>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</si>
  <si>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</si>
  <si>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</si>
  <si>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</si>
  <si>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</si>
  <si>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</si>
  <si>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</si>
  <si>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</si>
  <si>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</si>
  <si>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</si>
  <si>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</si>
  <si>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</si>
  <si>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</si>
  <si>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</si>
  <si>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</si>
  <si>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</si>
  <si>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</si>
  <si>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</si>
  <si>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</si>
  <si>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</si>
  <si>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</si>
  <si>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</si>
  <si>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</si>
  <si>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</si>
  <si>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</si>
  <si>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</si>
  <si>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</si>
  <si>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</si>
  <si>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</si>
  <si>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</si>
  <si>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</si>
  <si>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</si>
  <si>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</si>
  <si>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</si>
  <si>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</si>
  <si>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</si>
  <si>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</si>
  <si>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</si>
  <si>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</si>
  <si>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</si>
  <si>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</si>
  <si>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</si>
  <si>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</si>
  <si>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</si>
  <si>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</si>
  <si>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</si>
  <si>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</si>
  <si>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</si>
  <si>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</si>
  <si>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</si>
  <si>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</si>
  <si>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</si>
  <si>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</si>
  <si>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</si>
  <si>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</si>
  <si>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</si>
  <si>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</si>
  <si>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</si>
  <si>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</si>
  <si>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</si>
  <si>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</si>
  <si>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</si>
  <si>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</si>
  <si>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</si>
  <si>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</si>
  <si>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</si>
  <si>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</si>
  <si>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</si>
  <si>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</si>
  <si>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</si>
  <si>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</si>
  <si>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</si>
  <si>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</si>
  <si>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</si>
  <si>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</si>
  <si>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</si>
  <si>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</si>
  <si>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</si>
  <si>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</si>
  <si>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</si>
  <si>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</si>
  <si>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</si>
  <si>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</si>
  <si>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</si>
  <si>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</si>
  <si>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</si>
  <si>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</si>
  <si>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</si>
  <si>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</si>
  <si>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</si>
  <si>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</si>
  <si>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</si>
  <si>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</si>
  <si>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</si>
  <si>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</si>
  <si>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</si>
  <si>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</si>
  <si>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</si>
  <si>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</si>
  <si>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</si>
  <si>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</si>
  <si>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</si>
  <si>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</si>
  <si>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</si>
  <si>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</si>
  <si>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</si>
  <si>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</si>
  <si>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</si>
  <si>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</si>
  <si>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</si>
  <si>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</si>
  <si>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</si>
  <si>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</si>
  <si>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</si>
  <si>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</si>
  <si>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</si>
  <si>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</si>
  <si>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</si>
  <si>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</si>
  <si>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</si>
  <si>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</si>
  <si>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</si>
  <si>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</si>
  <si>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</si>
  <si>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</si>
  <si>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</si>
  <si>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</si>
  <si>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</si>
  <si>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</si>
  <si>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</si>
  <si>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</si>
  <si>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</si>
  <si>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</si>
  <si>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</si>
  <si>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</si>
  <si>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</si>
  <si>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</si>
  <si>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</si>
  <si>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</si>
  <si>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</si>
  <si>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</si>
  <si>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</si>
  <si>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</si>
  <si>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</si>
  <si>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</si>
  <si>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</si>
  <si>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</si>
  <si>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</si>
  <si>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</si>
  <si>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</si>
  <si>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</si>
  <si>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</si>
  <si>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</si>
  <si>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</si>
  <si>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</si>
  <si>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</si>
  <si>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</si>
  <si>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</si>
  <si>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</si>
  <si>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</si>
  <si>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</si>
  <si>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</si>
  <si>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</si>
  <si>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</si>
  <si>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</si>
  <si>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</si>
  <si>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</si>
  <si>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</si>
  <si>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</si>
  <si>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</si>
  <si>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</si>
  <si>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</si>
  <si>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</si>
  <si>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</si>
  <si>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</si>
  <si>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</si>
  <si>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</si>
  <si>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</si>
  <si>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</si>
  <si>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</si>
  <si>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</si>
  <si>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</si>
  <si>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</si>
  <si>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</si>
  <si>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</si>
  <si>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</si>
  <si>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</si>
  <si>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</si>
  <si>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</si>
  <si>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</si>
  <si>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</si>
  <si>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</si>
  <si>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</si>
  <si>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</si>
  <si>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</si>
  <si>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</si>
  <si>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</si>
  <si>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</si>
  <si>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</si>
  <si>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</si>
  <si>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</si>
  <si>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</si>
  <si>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</si>
  <si>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</si>
  <si>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</si>
  <si>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</si>
  <si>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</si>
  <si>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</si>
  <si>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</si>
  <si>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</si>
  <si>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</si>
  <si>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</si>
  <si>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</si>
  <si>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</si>
  <si>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</si>
  <si>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</si>
  <si>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</si>
  <si>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</si>
  <si>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</si>
  <si>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</si>
  <si>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</si>
  <si>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</si>
  <si>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</si>
  <si>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</si>
  <si>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</si>
  <si>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</si>
  <si>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</si>
  <si>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</si>
  <si>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</si>
  <si>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</si>
  <si>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</si>
  <si>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</si>
  <si>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</si>
  <si>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</si>
  <si>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</si>
  <si>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</si>
  <si>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</si>
  <si>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</si>
  <si>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</si>
  <si>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</si>
  <si>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</si>
  <si>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</si>
  <si>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</si>
  <si>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</si>
  <si>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</si>
  <si>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</si>
  <si>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</si>
  <si>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</si>
  <si>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</si>
  <si>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</si>
  <si>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</si>
  <si>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</si>
  <si>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</si>
  <si>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</si>
  <si>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</si>
  <si>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</si>
  <si>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</si>
  <si>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</si>
  <si>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</si>
  <si>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</si>
  <si>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</si>
  <si>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</si>
  <si>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</si>
  <si>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</si>
  <si>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</si>
  <si>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</si>
  <si>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</si>
  <si>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</si>
  <si>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</si>
  <si>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</si>
  <si>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</si>
  <si>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</si>
  <si>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</si>
  <si>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</si>
  <si>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</si>
  <si>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</si>
  <si>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</si>
  <si>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</si>
  <si>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</si>
  <si>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</si>
  <si>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</si>
  <si>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</si>
  <si>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</si>
  <si>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</si>
  <si>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</si>
  <si>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</si>
  <si>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</si>
  <si>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</si>
  <si>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</si>
  <si>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</si>
  <si>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</si>
  <si>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</si>
  <si>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</si>
  <si>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</si>
  <si>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</si>
  <si>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</si>
  <si>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</si>
  <si>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</si>
  <si>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</si>
  <si>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</si>
  <si>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</si>
  <si>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</si>
  <si>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</si>
  <si>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</si>
  <si>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</si>
  <si>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</si>
  <si>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</si>
  <si>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</si>
  <si>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</si>
  <si>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</si>
  <si>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</si>
  <si>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</si>
  <si>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</si>
  <si>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</si>
  <si>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</si>
  <si>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</si>
  <si>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</si>
  <si>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</si>
  <si>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</si>
  <si>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</si>
  <si>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</si>
  <si>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</si>
  <si>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</si>
  <si>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</si>
  <si>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</si>
  <si>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</si>
  <si>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</si>
  <si>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</si>
  <si>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</si>
  <si>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</si>
  <si>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</si>
  <si>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</si>
  <si>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</si>
  <si>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</si>
  <si>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</si>
  <si>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</si>
  <si>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</si>
  <si>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</si>
  <si>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</si>
  <si>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</si>
  <si>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</si>
  <si>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</si>
  <si>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</si>
  <si>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</si>
  <si>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</si>
  <si>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</si>
  <si>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</si>
  <si>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</si>
  <si>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</si>
  <si>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</si>
  <si>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</si>
  <si>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</si>
  <si>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</si>
  <si>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</si>
  <si>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</si>
  <si>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</si>
  <si>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</si>
  <si>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</si>
  <si>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</si>
  <si>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</si>
  <si>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</si>
  <si>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</si>
  <si>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</si>
  <si>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</si>
  <si>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</si>
  <si>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</si>
  <si>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</si>
  <si>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</si>
  <si>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</si>
  <si>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</si>
  <si>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</si>
  <si>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</si>
  <si>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</si>
  <si>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</si>
  <si>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</si>
  <si>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</si>
  <si>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</si>
  <si>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</si>
  <si>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</si>
  <si>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</si>
  <si>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</si>
  <si>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</si>
  <si>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</si>
  <si>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</si>
  <si>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</si>
  <si>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</si>
  <si>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</si>
  <si>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</si>
  <si>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</si>
  <si>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</si>
  <si>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</si>
  <si>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</si>
  <si>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</si>
  <si>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</si>
  <si>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</si>
  <si>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</si>
  <si>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</si>
  <si>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</si>
  <si>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</si>
  <si>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</si>
  <si>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</si>
  <si>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</si>
  <si>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</si>
  <si>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</si>
  <si>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</si>
  <si>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</si>
  <si>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</si>
  <si>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</si>
  <si>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</si>
  <si>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</si>
  <si>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</si>
  <si>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</si>
  <si>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</si>
  <si>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</si>
  <si>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</si>
  <si>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</si>
  <si>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</si>
  <si>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</si>
  <si>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</si>
  <si>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</si>
  <si>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</si>
  <si>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</si>
  <si>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</si>
  <si>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</si>
  <si>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</si>
  <si>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</si>
  <si>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</si>
  <si>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</si>
  <si>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</si>
  <si>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</si>
  <si>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</si>
  <si>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</si>
  <si>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</si>
  <si>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</si>
  <si>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</si>
  <si>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</si>
  <si>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</si>
  <si>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</si>
  <si>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</si>
  <si>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</si>
  <si>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</si>
  <si>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</si>
  <si>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</si>
  <si>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</si>
  <si>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</si>
  <si>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</si>
  <si>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</si>
  <si>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</si>
  <si>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</si>
  <si>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</si>
  <si>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</si>
  <si>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</si>
  <si>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</si>
  <si>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</si>
  <si>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</si>
  <si>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</si>
  <si>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</si>
  <si>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</si>
  <si>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</si>
  <si>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</si>
  <si>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</si>
  <si>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</si>
  <si>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</si>
  <si>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</si>
  <si>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</si>
  <si>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</si>
  <si>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</si>
  <si>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</si>
  <si>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</si>
  <si>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</si>
  <si>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</si>
  <si>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</si>
  <si>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</si>
  <si>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</si>
  <si>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</si>
  <si>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</si>
  <si>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</si>
  <si>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</si>
  <si>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</si>
  <si>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</si>
  <si>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</si>
  <si>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</si>
  <si>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</si>
  <si>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</si>
  <si>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</si>
  <si>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</si>
  <si>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</si>
  <si>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</si>
  <si>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</si>
  <si>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</si>
  <si>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</si>
  <si>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</si>
  <si>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</si>
  <si>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</si>
  <si>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</si>
  <si>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</si>
  <si>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</si>
  <si>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</si>
  <si>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</si>
  <si>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</si>
  <si>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</si>
  <si>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</si>
  <si>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</si>
  <si>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</si>
  <si>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</si>
  <si>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</si>
  <si>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</si>
  <si>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</si>
  <si>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</si>
  <si>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</si>
  <si>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</si>
  <si>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</si>
  <si>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</si>
  <si>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</si>
  <si>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</si>
  <si>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</si>
  <si>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</si>
  <si>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</si>
  <si>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</si>
  <si>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</si>
  <si>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</si>
  <si>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</si>
  <si>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</si>
  <si>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</si>
  <si>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</si>
  <si>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</si>
  <si>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</si>
  <si>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</si>
  <si>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</si>
  <si>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</si>
  <si>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</si>
  <si>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</si>
  <si>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</si>
  <si>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</si>
  <si>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</si>
  <si>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</si>
  <si>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</si>
  <si>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</si>
  <si>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</si>
  <si>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</si>
  <si>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</si>
  <si>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</si>
  <si>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</si>
  <si>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</si>
  <si>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</si>
  <si>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</si>
  <si>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</si>
  <si>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</si>
  <si>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</si>
  <si>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</si>
  <si>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</si>
  <si>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</si>
  <si>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</si>
  <si>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</si>
  <si>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</si>
  <si>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</si>
  <si>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</si>
  <si>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</si>
  <si>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</si>
  <si>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</si>
  <si>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</si>
  <si>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</si>
  <si>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</si>
  <si>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</si>
  <si>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</si>
  <si>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</si>
  <si>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</si>
  <si>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</si>
  <si>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</si>
  <si>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</si>
  <si>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</si>
  <si>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</si>
  <si>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</si>
  <si>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</si>
  <si>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</si>
  <si>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</si>
  <si>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</si>
  <si>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</si>
  <si>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</si>
  <si>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</si>
  <si>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</si>
  <si>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</si>
  <si>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</si>
  <si>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</si>
  <si>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</si>
  <si>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</si>
  <si>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</si>
  <si>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</si>
  <si>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</si>
  <si>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</si>
  <si>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</si>
  <si>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</si>
  <si>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</si>
  <si>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</si>
  <si>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</si>
  <si>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</si>
  <si>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</si>
  <si>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</si>
  <si>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</si>
  <si>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</si>
  <si>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</si>
  <si>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</si>
  <si>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</si>
  <si>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</si>
  <si>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</si>
  <si>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</si>
  <si>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</si>
  <si>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</si>
  <si>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</si>
  <si>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</si>
  <si>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</si>
  <si>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</si>
  <si>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</si>
  <si>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</si>
  <si>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</si>
  <si>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</si>
  <si>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</si>
  <si>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</si>
  <si>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</si>
  <si>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</si>
  <si>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</si>
  <si>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</si>
  <si>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</si>
  <si>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</si>
  <si>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</si>
  <si>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</si>
  <si>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</si>
  <si>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</si>
  <si>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</si>
  <si>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</si>
  <si>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</si>
  <si>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</si>
  <si>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</si>
  <si>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</si>
  <si>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</si>
  <si>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</si>
  <si>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</si>
  <si>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</si>
  <si>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</si>
  <si>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</si>
  <si>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</si>
  <si>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</si>
  <si>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</si>
  <si>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</si>
  <si>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</si>
  <si>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</si>
  <si>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</si>
  <si>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</si>
  <si>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</si>
  <si>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</si>
  <si>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</si>
  <si>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</si>
  <si>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</si>
  <si>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</si>
  <si>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</si>
  <si>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</si>
  <si>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</si>
  <si>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</si>
  <si>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</si>
  <si>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</si>
  <si>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</si>
  <si>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</si>
  <si>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</si>
  <si>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</si>
  <si>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</si>
  <si>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</si>
  <si>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</si>
  <si>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</si>
  <si>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</si>
  <si>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</si>
  <si>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</si>
  <si>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</si>
  <si>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</si>
  <si>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</si>
  <si>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</si>
  <si>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</si>
  <si>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</si>
  <si>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</si>
  <si>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</si>
  <si>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</si>
  <si>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</si>
  <si>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</si>
  <si>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</si>
  <si>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</si>
  <si>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</si>
  <si>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</si>
  <si>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</si>
  <si>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</si>
  <si>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</si>
  <si>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</si>
  <si>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</si>
  <si>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</si>
  <si>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</si>
  <si>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</si>
  <si>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</si>
  <si>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</si>
  <si>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</si>
  <si>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</si>
  <si>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</si>
  <si>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</si>
  <si>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</si>
  <si>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</si>
  <si>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</si>
  <si>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</si>
  <si>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</si>
  <si>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</si>
  <si>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</si>
  <si>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</si>
  <si>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</si>
  <si>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</si>
  <si>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</si>
  <si>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</si>
  <si>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</si>
  <si>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</si>
  <si>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</si>
  <si>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</si>
  <si>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</si>
  <si>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</si>
  <si>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</si>
  <si>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</si>
  <si>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</si>
  <si>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</si>
  <si>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</si>
  <si>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</si>
  <si>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</si>
  <si>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</si>
  <si>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</si>
  <si>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</si>
  <si>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</si>
  <si>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</si>
  <si>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</si>
  <si>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</si>
  <si>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</si>
  <si>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</si>
  <si>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</si>
  <si>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</si>
  <si>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</si>
  <si>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</si>
  <si>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</si>
  <si>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</si>
  <si>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</si>
  <si>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</si>
  <si>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</si>
  <si>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</si>
  <si>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</si>
  <si>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</si>
  <si>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</si>
  <si>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</si>
  <si>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</si>
  <si>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</si>
  <si>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</si>
  <si>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</si>
  <si>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</si>
  <si>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</si>
  <si>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</si>
  <si>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</si>
  <si>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</si>
  <si>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</si>
  <si>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</si>
  <si>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</si>
  <si>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</si>
  <si>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</si>
  <si>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</si>
  <si>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</si>
  <si>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</si>
  <si>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</si>
  <si>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</si>
  <si>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</si>
  <si>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</si>
  <si>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</si>
  <si>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</si>
  <si>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</si>
  <si>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</si>
  <si>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</si>
  <si>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</si>
  <si>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</si>
  <si>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</si>
  <si>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</si>
  <si>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</si>
  <si>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</si>
  <si>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</si>
  <si>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</si>
  <si>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</si>
  <si>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</si>
  <si>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</si>
  <si>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</si>
  <si>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</si>
  <si>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</si>
  <si>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</si>
  <si>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</si>
  <si>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</si>
  <si>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</si>
  <si>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</si>
  <si>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</si>
  <si>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</si>
  <si>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</si>
  <si>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</si>
  <si>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</si>
  <si>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</si>
  <si>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</si>
  <si>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</si>
  <si>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</si>
  <si>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</si>
  <si>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</si>
  <si>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</si>
  <si>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</si>
  <si>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</si>
  <si>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</si>
  <si>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</si>
  <si>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</si>
  <si>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</si>
  <si>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</si>
  <si>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</si>
  <si>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</si>
  <si>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</si>
  <si>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</si>
  <si>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</si>
  <si>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</si>
  <si>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</si>
  <si>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</si>
  <si>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</si>
  <si>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</si>
  <si>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</si>
  <si>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</si>
  <si>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</si>
  <si>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</si>
  <si>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</si>
  <si>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</si>
  <si>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</si>
  <si>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</si>
  <si>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</si>
  <si>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</si>
  <si>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</si>
  <si>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</si>
  <si>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</si>
  <si>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</si>
  <si>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</si>
  <si>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</si>
  <si>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</si>
  <si>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</si>
  <si>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</si>
  <si>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</si>
  <si>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</si>
  <si>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</si>
  <si>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</si>
  <si>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</si>
  <si>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</si>
  <si>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</si>
  <si>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</si>
  <si>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</si>
  <si>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</si>
  <si>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</si>
  <si>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</si>
  <si>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</si>
  <si>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</si>
  <si>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</si>
  <si>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</si>
  <si>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</si>
  <si>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</si>
  <si>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</si>
  <si>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</si>
  <si>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</si>
  <si>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</si>
  <si>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</si>
  <si>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</si>
  <si>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</si>
  <si>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</si>
  <si>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</si>
  <si>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</si>
  <si>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</si>
  <si>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</si>
  <si>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</si>
  <si>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</si>
  <si>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</si>
  <si>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</si>
  <si>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</si>
  <si>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</si>
  <si>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</si>
  <si>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</si>
  <si>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</si>
  <si>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</si>
  <si>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</si>
  <si>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</si>
  <si>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</si>
  <si>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</si>
  <si>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</si>
  <si>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</si>
  <si>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</si>
  <si>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</si>
  <si>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</si>
  <si>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</si>
  <si>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</si>
  <si>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</si>
  <si>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</si>
  <si>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</si>
  <si>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</si>
  <si>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</si>
  <si>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</si>
  <si>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</si>
  <si>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</si>
  <si>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</si>
  <si>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</si>
  <si>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</si>
  <si>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</si>
  <si>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</si>
  <si>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</si>
  <si>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</si>
  <si>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</si>
  <si>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</si>
  <si>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</si>
  <si>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</si>
  <si>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</si>
  <si>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</si>
  <si>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</si>
  <si>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</si>
  <si>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</si>
  <si>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</si>
  <si>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</si>
  <si>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</si>
  <si>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</si>
  <si>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</si>
  <si>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</si>
  <si>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</si>
  <si>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</si>
  <si>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</si>
  <si>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</si>
  <si>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</si>
  <si>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</si>
  <si>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</si>
  <si>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</si>
  <si>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</si>
  <si>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</si>
  <si>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</si>
  <si>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</si>
  <si>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</si>
  <si>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</si>
  <si>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</si>
  <si>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</si>
  <si>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</si>
  <si>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</si>
  <si>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</si>
  <si>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</si>
  <si>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</si>
  <si>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</si>
  <si>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</si>
  <si>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</si>
  <si>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</si>
  <si>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</si>
  <si>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</si>
  <si>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</si>
  <si>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</si>
  <si>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</si>
  <si>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</si>
  <si>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</si>
  <si>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</si>
  <si>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</si>
  <si>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</si>
  <si>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</si>
  <si>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</si>
  <si>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</si>
  <si>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</si>
  <si>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</si>
  <si>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</si>
  <si>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</si>
  <si>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</si>
  <si>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</si>
  <si>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</si>
  <si>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</si>
  <si>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</si>
  <si>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</si>
  <si>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</si>
  <si>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</si>
  <si>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</si>
  <si>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</si>
  <si>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</si>
  <si>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</si>
  <si>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</si>
  <si>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</si>
  <si>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</si>
  <si>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</si>
  <si>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</si>
  <si>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</si>
  <si>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</si>
  <si>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</si>
  <si>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</si>
  <si>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</si>
  <si>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</si>
  <si>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</si>
  <si>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</si>
  <si>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</si>
  <si>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</si>
  <si>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</si>
  <si>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</si>
  <si>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</si>
  <si>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</si>
  <si>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</si>
  <si>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</si>
  <si>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</si>
  <si>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</si>
  <si>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</si>
  <si>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</si>
  <si>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</si>
  <si>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</si>
  <si>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</si>
  <si>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</si>
  <si>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</si>
  <si>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</si>
  <si>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</si>
  <si>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</si>
  <si>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</si>
  <si>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</si>
  <si>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</si>
  <si>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</si>
  <si>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</si>
  <si>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</si>
  <si>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</si>
  <si>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</si>
  <si>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</si>
  <si>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</si>
  <si>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</si>
  <si>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</si>
  <si>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</si>
  <si>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</si>
  <si>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</si>
  <si>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</si>
  <si>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</si>
  <si>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</si>
  <si>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</si>
  <si>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</si>
  <si>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</si>
  <si>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</si>
  <si>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</si>
  <si>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</si>
  <si>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</si>
  <si>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</si>
  <si>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</si>
  <si>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</si>
  <si>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</si>
  <si>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</si>
  <si>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</si>
  <si>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</si>
  <si>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</si>
  <si>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</si>
  <si>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</si>
  <si>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</si>
  <si>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</si>
  <si>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</si>
  <si>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</si>
  <si>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</si>
  <si>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</si>
  <si>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</si>
  <si>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</si>
  <si>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</si>
  <si>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</si>
  <si>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</si>
  <si>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</si>
  <si>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</si>
  <si>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</si>
  <si>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</si>
  <si>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</si>
  <si>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</si>
  <si>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</si>
  <si>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</si>
  <si>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</si>
  <si>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</si>
  <si>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</si>
  <si>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</si>
  <si>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</si>
  <si>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</si>
  <si>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</si>
  <si>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</si>
  <si>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</si>
  <si>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</si>
  <si>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</si>
  <si>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</si>
  <si>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</si>
  <si>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</si>
  <si>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</si>
  <si>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</si>
  <si>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</si>
  <si>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</si>
  <si>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</si>
  <si>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</si>
  <si>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</si>
  <si>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</si>
  <si>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</si>
  <si>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</si>
  <si>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</si>
  <si>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</si>
  <si>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</si>
  <si>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</si>
  <si>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</si>
  <si>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</si>
  <si>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</si>
  <si>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</si>
  <si>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</si>
  <si>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</si>
  <si>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</si>
  <si>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</si>
  <si>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</si>
  <si>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</si>
  <si>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</si>
  <si>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</si>
  <si>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</si>
  <si>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</si>
  <si>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</si>
  <si>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</si>
  <si>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</si>
  <si>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</si>
  <si>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</si>
  <si>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</si>
  <si>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</si>
  <si>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</si>
  <si>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</si>
  <si>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</si>
  <si>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</si>
  <si>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</si>
  <si>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</si>
  <si>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</si>
  <si>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</si>
  <si>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</si>
  <si>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</si>
  <si>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</si>
  <si>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</si>
  <si>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</si>
  <si>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</si>
  <si>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</si>
  <si>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</si>
  <si>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</si>
  <si>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</si>
  <si>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</si>
  <si>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</si>
  <si>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</si>
  <si>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</si>
  <si>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</si>
  <si>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</si>
  <si>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</si>
  <si>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</si>
  <si>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</si>
  <si>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</si>
  <si>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</si>
  <si>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</si>
  <si>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</si>
  <si>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</si>
  <si>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</si>
  <si>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</si>
  <si>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</si>
  <si>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</si>
  <si>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</si>
  <si>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</si>
  <si>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</si>
  <si>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</si>
  <si>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</si>
  <si>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</si>
  <si>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</si>
  <si>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</si>
  <si>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</si>
  <si>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</si>
  <si>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</si>
  <si>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</si>
  <si>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</si>
  <si>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</si>
  <si>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</si>
  <si>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</si>
  <si>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</si>
  <si>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</si>
  <si>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</si>
  <si>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</si>
  <si>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</si>
  <si>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</si>
  <si>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</si>
  <si>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</si>
  <si>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</si>
  <si>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</si>
  <si>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</si>
  <si>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</si>
  <si>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</si>
  <si>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</si>
  <si>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</si>
  <si>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</si>
  <si>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</si>
  <si>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</si>
  <si>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</si>
  <si>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</si>
  <si>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</si>
  <si>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</si>
  <si>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</si>
  <si>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</si>
  <si>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</si>
  <si>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</si>
  <si>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</si>
  <si>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</si>
  <si>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</si>
  <si>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</si>
  <si>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</si>
  <si>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</si>
  <si>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</si>
  <si>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</si>
  <si>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</si>
  <si>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</si>
  <si>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</si>
  <si>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</si>
  <si>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</si>
  <si>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</si>
  <si>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</si>
  <si>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</si>
  <si>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</si>
  <si>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</si>
  <si>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</si>
  <si>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</si>
  <si>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</si>
  <si>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</si>
  <si>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</si>
  <si>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</si>
  <si>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</si>
  <si>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</si>
  <si>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</si>
  <si>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</si>
  <si>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</si>
  <si>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</si>
  <si>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</si>
  <si>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</si>
  <si>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</si>
  <si>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</si>
  <si>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</si>
  <si>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</si>
  <si>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</si>
  <si>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</si>
  <si>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</si>
  <si>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</si>
  <si>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</si>
  <si>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</si>
  <si>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</si>
  <si>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</si>
  <si>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</si>
  <si>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</si>
  <si>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</si>
  <si>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</si>
  <si>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</si>
  <si>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</si>
  <si>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</si>
  <si>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</si>
  <si>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</si>
  <si>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</si>
  <si>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</si>
  <si>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</si>
  <si>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</si>
  <si>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</si>
  <si>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</si>
  <si>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</si>
  <si>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</si>
  <si>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</si>
  <si>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</si>
  <si>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</si>
  <si>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</si>
  <si>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</si>
  <si>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</si>
  <si>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</si>
  <si>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</si>
  <si>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</si>
  <si>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</si>
  <si>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</si>
  <si>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</si>
  <si>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</si>
  <si>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</si>
  <si>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</si>
  <si>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</si>
  <si>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</si>
  <si>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</si>
  <si>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</si>
  <si>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</si>
  <si>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</si>
  <si>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</si>
  <si>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</si>
  <si>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</si>
  <si>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</si>
  <si>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</si>
  <si>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</si>
  <si>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</si>
  <si>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</si>
  <si>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</si>
  <si>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</si>
  <si>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</si>
  <si>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</si>
  <si>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</si>
  <si>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</si>
  <si>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</si>
  <si>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</si>
  <si>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</si>
  <si>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</si>
  <si>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</si>
  <si>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</si>
  <si>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</si>
  <si>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</si>
  <si>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</si>
  <si>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</si>
  <si>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</si>
  <si>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</si>
  <si>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</si>
  <si>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</si>
  <si>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</si>
  <si>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</si>
  <si>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</si>
  <si>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</si>
  <si>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</si>
  <si>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</si>
  <si>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</si>
  <si>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</si>
  <si>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</si>
  <si>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</si>
  <si>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</si>
  <si>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</si>
  <si>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</si>
  <si>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</si>
  <si>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</si>
  <si>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</si>
  <si>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</si>
  <si>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</si>
  <si>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</si>
  <si>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</si>
  <si>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</si>
  <si>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</si>
  <si>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</si>
  <si>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</si>
  <si>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</si>
  <si>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</si>
  <si>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</si>
  <si>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</si>
  <si>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</si>
  <si>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</si>
  <si>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</si>
  <si>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</si>
  <si>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</si>
  <si>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</si>
  <si>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</si>
  <si>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</si>
  <si>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</si>
  <si>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</si>
  <si>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</si>
  <si>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</si>
  <si>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</si>
  <si>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</si>
  <si>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</si>
  <si>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</si>
  <si>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</si>
  <si>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</si>
  <si>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</si>
  <si>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</si>
  <si>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</si>
  <si>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</si>
  <si>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</si>
  <si>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</si>
  <si>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</si>
  <si>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</si>
  <si>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</si>
  <si>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</si>
  <si>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</si>
  <si>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</si>
  <si>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</si>
  <si>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</si>
  <si>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</si>
  <si>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</si>
  <si>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</si>
  <si>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</si>
  <si>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</si>
  <si>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</si>
  <si>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</si>
  <si>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</si>
  <si>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</si>
  <si>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</si>
  <si>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</si>
  <si>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</si>
  <si>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</si>
  <si>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</si>
  <si>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</si>
  <si>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</si>
  <si>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</si>
  <si>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</si>
  <si>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</si>
  <si>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</si>
  <si>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</si>
  <si>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</si>
  <si>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</si>
  <si>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</si>
  <si>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</si>
  <si>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</si>
  <si>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</si>
  <si>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</si>
  <si>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</si>
  <si>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</si>
  <si>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</si>
  <si>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</si>
  <si>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</si>
  <si>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</si>
  <si>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</si>
  <si>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</si>
  <si>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</si>
  <si>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</si>
  <si>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</si>
  <si>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</si>
  <si>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</si>
  <si>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</si>
  <si>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</si>
  <si>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</si>
  <si>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</si>
  <si>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</si>
  <si>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</si>
  <si>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</si>
  <si>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</si>
  <si>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</si>
  <si>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</si>
  <si>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</si>
  <si>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</si>
  <si>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</si>
  <si>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</si>
  <si>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</si>
  <si>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</si>
  <si>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</si>
  <si>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</si>
  <si>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</si>
  <si>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</si>
  <si>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</si>
  <si>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</si>
  <si>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</si>
  <si>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</si>
  <si>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</si>
  <si>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</si>
  <si>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</si>
  <si>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</si>
  <si>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</si>
  <si>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</si>
  <si>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</si>
  <si>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</si>
  <si>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</si>
  <si>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</si>
  <si>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</si>
  <si>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</si>
  <si>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</si>
  <si>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</si>
  <si>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</si>
  <si>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</si>
  <si>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</si>
  <si>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</si>
  <si>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</si>
  <si>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</si>
  <si>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</si>
  <si>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</si>
  <si>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</si>
  <si>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</si>
  <si>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</si>
  <si>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</si>
  <si>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</si>
  <si>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</si>
  <si>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</si>
  <si>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</si>
  <si>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</si>
  <si>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</si>
  <si>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</si>
  <si>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</si>
  <si>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</si>
  <si>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</si>
  <si>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</si>
  <si>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</si>
  <si>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</si>
  <si>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</si>
  <si>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</si>
  <si>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</si>
  <si>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</si>
  <si>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</si>
  <si>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</si>
  <si>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</si>
  <si>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</si>
  <si>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</si>
  <si>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</si>
  <si>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</si>
  <si>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</si>
  <si>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</si>
  <si>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</si>
  <si>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</si>
  <si>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</si>
  <si>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</si>
  <si>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</si>
  <si>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</si>
  <si>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</si>
  <si>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</si>
  <si>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</si>
  <si>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</si>
  <si>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</si>
  <si>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</si>
  <si>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</si>
  <si>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</si>
  <si>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</si>
  <si>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</si>
  <si>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</si>
  <si>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</si>
  <si>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</si>
  <si>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</si>
  <si>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</si>
  <si>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</si>
  <si>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</si>
  <si>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</si>
  <si>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</si>
  <si>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</si>
  <si>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</si>
  <si>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</si>
  <si>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</si>
  <si>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</si>
  <si>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</si>
  <si>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</si>
  <si>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</si>
  <si>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</si>
  <si>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</si>
  <si>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</si>
  <si>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</si>
  <si>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</si>
  <si>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</si>
  <si>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</si>
  <si>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</si>
  <si>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</si>
  <si>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</si>
  <si>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</si>
  <si>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</si>
  <si>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</si>
  <si>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</si>
  <si>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</si>
  <si>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</si>
  <si>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</si>
  <si>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</si>
  <si>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</si>
  <si>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</si>
  <si>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</si>
  <si>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</si>
  <si>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</si>
  <si>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</si>
  <si>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</si>
  <si>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</si>
  <si>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</si>
  <si>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</si>
  <si>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</si>
  <si>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</si>
  <si>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</si>
  <si>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</si>
  <si>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</si>
  <si>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</si>
  <si>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</si>
  <si>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</si>
  <si>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</si>
  <si>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</si>
  <si>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</si>
  <si>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</si>
  <si>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</si>
  <si>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</si>
  <si>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</si>
  <si>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</si>
  <si>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</si>
  <si>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</si>
  <si>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</si>
  <si>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</si>
  <si>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</si>
  <si>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</si>
  <si>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</si>
  <si>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</si>
  <si>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</si>
  <si>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</si>
  <si>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</si>
  <si>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</si>
  <si>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</si>
  <si>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</si>
  <si>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</si>
  <si>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</si>
  <si>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</si>
  <si>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</si>
  <si>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</si>
  <si>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</si>
  <si>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</si>
  <si>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</si>
  <si>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</si>
  <si>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</si>
  <si>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</si>
  <si>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</si>
  <si>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</si>
  <si>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</si>
  <si>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</si>
  <si>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</si>
  <si>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</si>
  <si>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</si>
  <si>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</si>
  <si>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</si>
  <si>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</si>
  <si>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</si>
  <si>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</si>
  <si>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</si>
  <si>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</si>
  <si>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</si>
  <si>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</si>
  <si>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</si>
  <si>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</si>
  <si>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</si>
  <si>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</si>
  <si>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</si>
  <si>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</si>
  <si>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</si>
  <si>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</si>
  <si>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</si>
  <si>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</si>
  <si>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</si>
  <si>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</si>
  <si>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</si>
  <si>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</si>
  <si>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</si>
  <si>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</si>
  <si>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</si>
  <si>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</si>
  <si>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</si>
  <si>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</si>
  <si>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</si>
  <si>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</si>
  <si>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</si>
  <si>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</si>
  <si>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</si>
  <si>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</si>
  <si>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</si>
  <si>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</si>
  <si>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</si>
  <si>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</si>
  <si>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</si>
  <si>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</si>
  <si>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</si>
  <si>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</si>
  <si>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</si>
  <si>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</si>
  <si>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</si>
  <si>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</si>
  <si>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</si>
  <si>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</si>
  <si>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</si>
  <si>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</si>
  <si>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</si>
  <si>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</si>
  <si>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</si>
  <si>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</si>
  <si>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</si>
  <si>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</si>
  <si>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</si>
  <si>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</si>
  <si>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</si>
  <si>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</si>
  <si>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</si>
  <si>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</si>
  <si>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</si>
  <si>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</si>
  <si>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</si>
  <si>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</si>
  <si>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</si>
  <si>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</si>
  <si>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</si>
  <si>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</si>
  <si>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</si>
  <si>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</si>
  <si>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</si>
  <si>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</si>
  <si>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</si>
  <si>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</si>
  <si>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</si>
  <si>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</si>
  <si>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</si>
  <si>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</si>
  <si>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</si>
  <si>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</si>
  <si>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</si>
  <si>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</si>
  <si>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</si>
  <si>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</si>
  <si>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</si>
  <si>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</si>
  <si>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</si>
  <si>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</si>
  <si>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</si>
  <si>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</si>
  <si>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</si>
  <si>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</si>
  <si>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</si>
  <si>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</si>
  <si>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</si>
  <si>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</si>
  <si>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</si>
  <si>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</si>
  <si>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</si>
  <si>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</si>
  <si>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</si>
  <si>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</si>
  <si>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</si>
  <si>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</si>
  <si>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</si>
  <si>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</si>
  <si>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</si>
  <si>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</si>
  <si>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</si>
  <si>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</si>
  <si>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</si>
  <si>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</si>
  <si>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</si>
  <si>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</si>
  <si>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</si>
  <si>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</si>
  <si>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</si>
  <si>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</si>
  <si>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</si>
  <si>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</si>
  <si>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</si>
  <si>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</si>
  <si>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</si>
  <si>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</si>
  <si>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</si>
  <si>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</si>
  <si>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</si>
  <si>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</si>
  <si>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</si>
  <si>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</si>
  <si>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</si>
  <si>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</si>
  <si>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</si>
  <si>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</si>
  <si>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</si>
  <si>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</si>
  <si>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</si>
  <si>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</si>
  <si>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</si>
  <si>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</si>
  <si>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</si>
  <si>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</si>
  <si>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</si>
  <si>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</si>
  <si>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</si>
  <si>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</si>
  <si>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</si>
  <si>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</si>
  <si>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</si>
  <si>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</si>
  <si>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</si>
  <si>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</si>
  <si>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</si>
  <si>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</si>
  <si>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</si>
  <si>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</si>
  <si>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</si>
  <si>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</si>
  <si>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</si>
  <si>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</si>
  <si>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</si>
  <si>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</si>
  <si>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</si>
  <si>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</si>
  <si>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</si>
  <si>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</si>
  <si>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</si>
  <si>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</si>
  <si>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</si>
  <si>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</si>
  <si>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</si>
  <si>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</si>
  <si>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</si>
  <si>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</si>
  <si>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</si>
  <si>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</si>
  <si>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</si>
  <si>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</si>
  <si>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</si>
  <si>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</si>
  <si>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</si>
  <si>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</si>
  <si>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</si>
  <si>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</si>
  <si>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</si>
  <si>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</si>
  <si>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</si>
  <si>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</si>
  <si>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</si>
  <si>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</si>
  <si>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</si>
  <si>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</si>
  <si>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</si>
  <si>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</si>
  <si>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</si>
  <si>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</si>
  <si>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</si>
  <si>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</si>
  <si>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</si>
  <si>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</si>
  <si>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</si>
  <si>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</si>
  <si>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</si>
  <si>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</si>
  <si>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</si>
  <si>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</si>
  <si>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</si>
  <si>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</si>
  <si>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</si>
  <si>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</si>
  <si>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</si>
  <si>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</si>
  <si>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</si>
  <si>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</si>
  <si>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</si>
  <si>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</si>
  <si>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</si>
  <si>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</si>
  <si>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</si>
  <si>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</si>
  <si>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</si>
  <si>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</si>
  <si>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</si>
  <si>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</si>
  <si>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</si>
  <si>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</si>
  <si>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</si>
  <si>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</si>
  <si>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</si>
  <si>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</si>
  <si>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</si>
  <si>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</si>
  <si>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</si>
  <si>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</si>
  <si>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</si>
  <si>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</si>
  <si>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</si>
  <si>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</si>
  <si>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</si>
  <si>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</si>
  <si>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</si>
  <si>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</si>
  <si>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</si>
  <si>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</si>
  <si>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</si>
  <si>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</si>
  <si>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</si>
  <si>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</si>
  <si>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</si>
  <si>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</si>
  <si>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</si>
  <si>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</si>
  <si>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</si>
  <si>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</si>
  <si>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</si>
  <si>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</si>
  <si>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</si>
  <si>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</si>
  <si>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</si>
  <si>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</si>
  <si>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</si>
  <si>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</si>
  <si>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</si>
  <si>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</si>
  <si>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</si>
  <si>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</si>
  <si>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</si>
  <si>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</si>
  <si>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</si>
  <si>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</si>
  <si>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</si>
  <si>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</si>
  <si>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</si>
  <si>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</si>
  <si>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</si>
  <si>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</si>
  <si>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</si>
  <si>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</si>
  <si>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</si>
  <si>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</si>
  <si>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</si>
  <si>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</si>
  <si>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</si>
  <si>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</si>
  <si>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</si>
  <si>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</si>
  <si>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</si>
  <si>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</si>
  <si>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</si>
  <si>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</si>
  <si>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</si>
  <si>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</si>
  <si>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</si>
  <si>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</si>
  <si>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</si>
  <si>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</si>
  <si>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</si>
  <si>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</si>
  <si>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</si>
  <si>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</si>
  <si>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</si>
  <si>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</si>
  <si>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</si>
  <si>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</si>
  <si>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</si>
  <si>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</si>
  <si>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</si>
  <si>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</si>
  <si>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</si>
  <si>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</si>
  <si>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</si>
  <si>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</si>
  <si>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</si>
  <si>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</si>
  <si>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</si>
  <si>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</si>
  <si>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</si>
  <si>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</si>
  <si>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</si>
  <si>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</si>
  <si>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</si>
  <si>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</si>
  <si>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</si>
  <si>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</si>
  <si>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</si>
  <si>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</si>
  <si>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</si>
  <si>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</si>
  <si>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</si>
  <si>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</si>
  <si>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</si>
  <si>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</si>
  <si>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</si>
  <si>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</si>
  <si>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</si>
  <si>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</si>
  <si>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</si>
  <si>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</si>
  <si>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</si>
  <si>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</si>
  <si>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</si>
  <si>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</si>
  <si>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</si>
  <si>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</si>
  <si>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</si>
  <si>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</si>
  <si>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</si>
  <si>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</si>
  <si>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</si>
  <si>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</si>
  <si>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</si>
  <si>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</si>
  <si>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</si>
  <si>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</si>
  <si>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</si>
  <si>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</si>
  <si>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</si>
  <si>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</si>
  <si>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</si>
  <si>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</si>
  <si>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</si>
  <si>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</si>
  <si>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</si>
  <si>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</si>
  <si>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</si>
  <si>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</si>
  <si>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</si>
  <si>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</si>
  <si>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</si>
  <si>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</si>
  <si>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</si>
  <si>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</si>
  <si>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</si>
  <si>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</si>
  <si>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</si>
  <si>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</si>
  <si>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</si>
  <si>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</si>
  <si>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</si>
  <si>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</si>
  <si>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</si>
  <si>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</si>
  <si>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</si>
  <si>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</si>
  <si>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</si>
  <si>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</si>
  <si>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</si>
  <si>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</si>
  <si>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</si>
  <si>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</si>
  <si>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</si>
  <si>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</si>
  <si>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</si>
  <si>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</si>
  <si>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</si>
  <si>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</si>
  <si>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</si>
  <si>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</si>
  <si>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</si>
  <si>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</si>
  <si>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</si>
  <si>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</si>
  <si>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</si>
  <si>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</si>
  <si>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</si>
  <si>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</si>
  <si>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</si>
  <si>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</si>
  <si>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</si>
  <si>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</si>
  <si>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</si>
  <si>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</si>
  <si>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</si>
  <si>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</si>
  <si>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</si>
  <si>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</si>
  <si>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</si>
  <si>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</si>
  <si>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</si>
  <si>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</si>
  <si>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</si>
  <si>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</si>
  <si>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</si>
  <si>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</si>
  <si>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</si>
  <si>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</si>
  <si>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</si>
  <si>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</si>
  <si>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</si>
  <si>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</si>
  <si>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</si>
  <si>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</si>
  <si>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</si>
  <si>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</si>
  <si>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</si>
  <si>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</si>
  <si>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</si>
  <si>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</si>
  <si>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</si>
  <si>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</si>
  <si>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</si>
  <si>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</si>
  <si>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</si>
  <si>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</si>
  <si>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</si>
  <si>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</si>
  <si>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</si>
  <si>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</si>
  <si>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</si>
  <si>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</si>
  <si>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</si>
  <si>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</si>
  <si>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</si>
  <si>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</si>
  <si>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</si>
  <si>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</si>
  <si>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</si>
  <si>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</si>
  <si>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</si>
  <si>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</si>
  <si>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</si>
  <si>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</si>
  <si>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</si>
  <si>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</si>
  <si>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</si>
  <si>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</si>
  <si>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</si>
  <si>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</si>
  <si>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</si>
  <si>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</si>
  <si>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</si>
  <si>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</si>
  <si>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</si>
  <si>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</si>
  <si>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</si>
  <si>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</si>
  <si>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</si>
  <si>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</si>
  <si>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</si>
  <si>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</si>
  <si>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</si>
  <si>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</si>
  <si>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</si>
  <si>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</si>
  <si>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</si>
  <si>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</si>
  <si>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</si>
  <si>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</si>
  <si>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</si>
  <si>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</si>
  <si>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</si>
  <si>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</si>
  <si>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</si>
  <si>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</si>
  <si>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</si>
  <si>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</si>
  <si>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</si>
  <si>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</si>
  <si>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</si>
  <si>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</si>
  <si>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</si>
  <si>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</si>
  <si>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</si>
  <si>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</si>
  <si>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</si>
  <si>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</si>
  <si>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</si>
  <si>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</si>
  <si>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</si>
  <si>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</si>
  <si>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</si>
  <si>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</si>
  <si>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</si>
  <si>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</si>
  <si>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</si>
  <si>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</si>
  <si>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</si>
  <si>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</si>
  <si>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</si>
  <si>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</si>
  <si>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</si>
  <si>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</si>
  <si>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</si>
  <si>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</si>
  <si>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</si>
  <si>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</si>
  <si>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</si>
  <si>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</si>
  <si>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</si>
  <si>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</si>
  <si>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</si>
  <si>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</si>
  <si>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</si>
  <si>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</si>
  <si>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</si>
  <si>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</si>
  <si>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</si>
  <si>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</si>
  <si>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</si>
  <si>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</si>
  <si>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</si>
  <si>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</si>
  <si>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</si>
  <si>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</si>
  <si>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</si>
  <si>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</si>
  <si>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</si>
  <si>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</si>
  <si>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</si>
  <si>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</si>
  <si>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</si>
  <si>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</si>
  <si>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</si>
  <si>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</si>
  <si>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</si>
  <si>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</si>
  <si>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</si>
  <si>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</si>
  <si>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</si>
  <si>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</si>
  <si>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</si>
  <si>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</si>
  <si>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</si>
  <si>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</si>
  <si>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</si>
  <si>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</si>
  <si>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</si>
  <si>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</si>
  <si>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</si>
  <si>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</si>
  <si>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</si>
  <si>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</si>
  <si>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</si>
  <si>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</si>
  <si>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</si>
  <si>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</si>
  <si>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</si>
  <si>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</si>
  <si>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</si>
  <si>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</si>
  <si>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</si>
  <si>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</si>
  <si>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</si>
  <si>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</si>
  <si>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</si>
  <si>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</si>
  <si>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</si>
  <si>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</si>
  <si>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</si>
  <si>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</si>
  <si>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</si>
  <si>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</si>
  <si>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</si>
  <si>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</si>
  <si>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</si>
  <si>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</si>
  <si>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</si>
  <si>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</si>
  <si>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</si>
  <si>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</si>
  <si>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</si>
  <si>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</si>
  <si>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</si>
  <si>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</si>
  <si>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</si>
  <si>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</si>
  <si>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</si>
  <si>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</si>
  <si>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</si>
  <si>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</si>
  <si>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</si>
  <si>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</si>
  <si>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</si>
  <si>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</si>
  <si>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</si>
  <si>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</si>
  <si>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</si>
  <si>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</si>
  <si>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</si>
  <si>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</si>
  <si>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</si>
  <si>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</si>
  <si>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</si>
  <si>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</si>
  <si>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</si>
  <si>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</si>
  <si>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</si>
  <si>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</si>
  <si>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</si>
  <si>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</si>
  <si>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</si>
  <si>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</si>
  <si>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</si>
  <si>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</si>
  <si>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</si>
  <si>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</si>
  <si>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</si>
  <si>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</si>
  <si>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</si>
  <si>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</si>
  <si>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</si>
  <si>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</si>
  <si>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</si>
  <si>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</si>
  <si>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</si>
  <si>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</si>
  <si>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</si>
  <si>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</si>
  <si>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</si>
  <si>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</si>
  <si>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</si>
  <si>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</si>
  <si>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</si>
  <si>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</si>
  <si>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</si>
  <si>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</si>
  <si>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</si>
  <si>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</si>
  <si>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</si>
  <si>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</si>
  <si>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</si>
  <si>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</si>
  <si>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</si>
  <si>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</si>
  <si>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</si>
  <si>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</si>
  <si>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</si>
  <si>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</si>
  <si>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</si>
  <si>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</si>
  <si>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</si>
  <si>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</si>
  <si>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</si>
  <si>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</si>
  <si>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</si>
  <si>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</si>
  <si>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</si>
  <si>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</si>
  <si>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</si>
  <si>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</si>
  <si>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</si>
  <si>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</si>
  <si>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</si>
  <si>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</si>
  <si>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</si>
  <si>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</si>
  <si>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</si>
  <si>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</si>
  <si>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</si>
  <si>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</si>
  <si>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</si>
  <si>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</si>
  <si>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</si>
  <si>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</si>
  <si>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</si>
  <si>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</si>
  <si>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</si>
  <si>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</si>
  <si>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</si>
  <si>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</si>
  <si>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</si>
  <si>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</si>
  <si>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</si>
  <si>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</si>
  <si>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</si>
  <si>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</si>
  <si>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</si>
  <si>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</si>
  <si>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</si>
  <si>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</si>
  <si>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</si>
  <si>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</si>
  <si>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</si>
  <si>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</si>
  <si>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</si>
  <si>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</si>
  <si>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</si>
  <si>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</si>
  <si>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</si>
  <si>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</si>
  <si>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</si>
  <si>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</si>
  <si>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</si>
  <si>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</si>
  <si>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</si>
  <si>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</si>
  <si>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</si>
  <si>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</si>
  <si>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</si>
  <si>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</si>
  <si>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</si>
  <si>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</si>
  <si>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</si>
  <si>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</si>
  <si>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</si>
  <si>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</si>
  <si>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</si>
  <si>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</si>
  <si>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</si>
  <si>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</si>
  <si>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</si>
  <si>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</si>
  <si>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</si>
  <si>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</si>
  <si>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</si>
  <si>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</si>
  <si>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</si>
  <si>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</si>
  <si>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</si>
  <si>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</si>
  <si>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</si>
  <si>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</si>
  <si>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</si>
  <si>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</si>
  <si>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</si>
  <si>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</si>
  <si>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</si>
  <si>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</si>
  <si>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</si>
  <si>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</si>
  <si>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</si>
  <si>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</si>
  <si>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</si>
  <si>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</si>
  <si>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</si>
  <si>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</si>
  <si>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</si>
  <si>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</si>
  <si>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</si>
  <si>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</si>
  <si>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</si>
  <si>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</si>
  <si>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</si>
  <si>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</si>
  <si>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</si>
  <si>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</si>
  <si>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</si>
  <si>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</si>
  <si>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</si>
  <si>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</si>
  <si>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</si>
  <si>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</si>
  <si>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</si>
  <si>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</si>
  <si>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</si>
  <si>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</si>
  <si>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</si>
  <si>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</si>
  <si>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</si>
  <si>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</si>
  <si>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</si>
  <si>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</si>
  <si>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</si>
  <si>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</si>
  <si>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</si>
  <si>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</si>
  <si>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</si>
  <si>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</si>
  <si>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</si>
  <si>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</si>
  <si>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</si>
  <si>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</si>
  <si>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</si>
  <si>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</si>
  <si>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</si>
  <si>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</si>
  <si>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</si>
  <si>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</si>
  <si>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</si>
  <si>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</si>
  <si>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</si>
  <si>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</si>
  <si>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</si>
  <si>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</si>
  <si>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</si>
  <si>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</si>
  <si>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</si>
  <si>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</si>
  <si>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</si>
  <si>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</si>
  <si>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</si>
  <si>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</si>
  <si>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</si>
  <si>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</si>
  <si>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</si>
  <si>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</si>
  <si>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</si>
  <si>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</si>
  <si>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</si>
  <si>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</si>
  <si>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</si>
  <si>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</si>
  <si>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</si>
  <si>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</si>
  <si>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</si>
  <si>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</si>
  <si>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</si>
  <si>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</si>
  <si>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</si>
  <si>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</si>
  <si>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</si>
  <si>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</si>
  <si>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</si>
  <si>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</si>
  <si>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</si>
  <si>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</si>
  <si>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</si>
  <si>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</si>
  <si>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</si>
  <si>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</si>
  <si>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</si>
  <si>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</si>
  <si>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</si>
  <si>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</si>
  <si>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</si>
  <si>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</si>
  <si>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</si>
  <si>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</si>
  <si>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</si>
  <si>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</si>
  <si>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</si>
  <si>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</si>
  <si>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</si>
  <si>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</si>
  <si>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</si>
  <si>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</si>
  <si>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</si>
  <si>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</si>
  <si>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</si>
  <si>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</si>
  <si>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</si>
  <si>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</si>
  <si>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</si>
  <si>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</si>
  <si>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</si>
  <si>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</si>
  <si>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</si>
  <si>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</si>
  <si>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</si>
  <si>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</si>
  <si>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</si>
  <si>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</si>
  <si>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</si>
  <si>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</si>
  <si>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</si>
  <si>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</si>
  <si>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</si>
  <si>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</si>
  <si>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</si>
  <si>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</si>
  <si>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</si>
  <si>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</si>
  <si>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</si>
  <si>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</si>
  <si>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</si>
  <si>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</si>
  <si>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</si>
  <si>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</si>
  <si>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</si>
  <si>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</si>
  <si>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</si>
  <si>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</si>
  <si>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</si>
  <si>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</si>
  <si>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</si>
  <si>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</si>
  <si>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</si>
  <si>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</si>
  <si>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</si>
  <si>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</si>
  <si>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</si>
  <si>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</si>
  <si>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</si>
  <si>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</si>
  <si>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</si>
  <si>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</si>
  <si>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</si>
  <si>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</si>
  <si>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</si>
  <si>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</si>
  <si>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</si>
  <si>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</si>
  <si>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</si>
  <si>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</si>
  <si>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</si>
  <si>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</si>
  <si>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</si>
  <si>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</si>
  <si>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</si>
  <si>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</si>
  <si>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</si>
  <si>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</si>
  <si>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</si>
  <si>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</si>
  <si>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</si>
  <si>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</si>
  <si>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</si>
  <si>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</si>
  <si>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</si>
  <si>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</si>
  <si>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</si>
  <si>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</si>
  <si>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</si>
  <si>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</si>
  <si>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</si>
  <si>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</si>
  <si>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</si>
  <si>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</si>
  <si>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</si>
  <si>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</si>
  <si>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</si>
  <si>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</si>
  <si>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</si>
  <si>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</si>
  <si>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</si>
  <si>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</si>
  <si>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</si>
  <si>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</si>
  <si>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</si>
  <si>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</si>
  <si>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</si>
  <si>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</si>
  <si>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</si>
  <si>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</si>
  <si>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</si>
  <si>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</si>
  <si>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</si>
  <si>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</si>
  <si>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</si>
  <si>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</si>
  <si>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</si>
  <si>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</si>
  <si>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</si>
  <si>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</si>
  <si>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</si>
  <si>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</si>
  <si>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</si>
  <si>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</si>
  <si>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</si>
  <si>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</si>
  <si>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</si>
  <si>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</si>
  <si>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</si>
  <si>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</si>
  <si>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</si>
  <si>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</si>
  <si>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</si>
  <si>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</si>
  <si>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</si>
  <si>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</si>
  <si>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</si>
  <si>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</si>
  <si>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</si>
  <si>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</si>
  <si>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</si>
  <si>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</si>
  <si>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</si>
  <si>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</si>
  <si>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</si>
  <si>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</si>
  <si>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</si>
  <si>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</si>
  <si>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</si>
  <si>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</si>
  <si>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</si>
  <si>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</si>
  <si>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</si>
  <si>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</si>
  <si>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</si>
  <si>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</si>
  <si>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</si>
  <si>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</si>
  <si>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</si>
  <si>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</si>
  <si>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</si>
  <si>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</si>
  <si>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</si>
  <si>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</si>
  <si>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</si>
  <si>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</si>
  <si>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</si>
  <si>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</si>
  <si>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</si>
  <si>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</si>
  <si>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</si>
  <si>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</si>
  <si>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</si>
  <si>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</si>
  <si>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</si>
  <si>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</si>
  <si>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</si>
  <si>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</si>
  <si>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</si>
  <si>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</si>
  <si>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</si>
  <si>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</si>
  <si>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</si>
  <si>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</si>
  <si>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</si>
  <si>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</si>
  <si>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</si>
  <si>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</si>
  <si>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</si>
  <si>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</si>
  <si>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</si>
  <si>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</si>
  <si>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</si>
  <si>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</si>
  <si>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</si>
  <si>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</si>
  <si>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</si>
  <si>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</si>
  <si>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</si>
  <si>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</si>
  <si>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</si>
  <si>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</si>
  <si>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</si>
  <si>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</si>
  <si>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</si>
  <si>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</si>
  <si>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</si>
  <si>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</si>
  <si>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</si>
  <si>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</si>
  <si>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</si>
  <si>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</si>
  <si>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</si>
  <si>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</si>
  <si>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</si>
  <si>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</si>
  <si>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</si>
  <si>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</si>
  <si>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</si>
  <si>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</si>
  <si>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</si>
  <si>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</si>
  <si>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</si>
  <si>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</si>
  <si>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</si>
  <si>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</si>
  <si>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</si>
  <si>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</si>
  <si>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</si>
  <si>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</si>
  <si>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</si>
  <si>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</si>
  <si>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</si>
  <si>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</si>
  <si>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</si>
  <si>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</si>
  <si>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</si>
  <si>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</si>
  <si>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</si>
  <si>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</si>
  <si>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</si>
  <si>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</si>
  <si>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</si>
  <si>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</si>
  <si>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</si>
  <si>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</si>
  <si>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</si>
  <si>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</si>
  <si>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</si>
  <si>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</si>
  <si>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</si>
  <si>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</si>
  <si>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</si>
  <si>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</si>
  <si>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</si>
  <si>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</si>
  <si>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</si>
  <si>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</si>
  <si>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</si>
  <si>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</si>
  <si>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</si>
  <si>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</si>
  <si>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</si>
  <si>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</si>
  <si>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</si>
  <si>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</si>
  <si>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</si>
  <si>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</si>
  <si>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</si>
  <si>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</si>
  <si>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</si>
  <si>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</si>
  <si>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</si>
  <si>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</si>
  <si>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</si>
  <si>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</si>
  <si>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</si>
  <si>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</si>
  <si>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</si>
  <si>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</si>
  <si>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</si>
  <si>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</si>
  <si>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</si>
  <si>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</si>
  <si>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</si>
  <si>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</si>
  <si>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</si>
  <si>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</si>
  <si>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</si>
  <si>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</si>
  <si>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</si>
  <si>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</si>
  <si>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</si>
  <si>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</si>
  <si>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</si>
  <si>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</si>
  <si>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</si>
  <si>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</si>
  <si>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</si>
  <si>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</si>
  <si>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</si>
  <si>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</si>
  <si>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</si>
  <si>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</si>
  <si>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</si>
  <si>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</si>
  <si>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</si>
  <si>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</si>
  <si>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</si>
  <si>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</si>
  <si>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</si>
  <si>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</si>
  <si>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</si>
  <si>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</si>
  <si>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</si>
  <si>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</si>
  <si>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</si>
  <si>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</si>
  <si>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</si>
  <si>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</si>
  <si>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</si>
  <si>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</si>
  <si>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</si>
  <si>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</si>
  <si>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</si>
  <si>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</si>
  <si>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</si>
  <si>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</si>
  <si>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</si>
  <si>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</si>
  <si>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</si>
  <si>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</si>
  <si>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</si>
  <si>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</si>
  <si>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</si>
  <si>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</si>
  <si>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</si>
  <si>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</si>
  <si>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</si>
  <si>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</si>
  <si>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</si>
  <si>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</si>
  <si>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</si>
  <si>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</si>
  <si>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</si>
  <si>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</si>
  <si>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</si>
  <si>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</si>
  <si>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</si>
  <si>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</si>
  <si>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</si>
  <si>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</si>
  <si>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</si>
  <si>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</si>
  <si>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</si>
  <si>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</si>
  <si>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</si>
  <si>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</si>
  <si>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</si>
  <si>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</si>
  <si>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</si>
  <si>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</si>
  <si>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</si>
  <si>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</si>
  <si>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</si>
  <si>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</si>
  <si>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</si>
  <si>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</si>
  <si>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</si>
  <si>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</si>
  <si>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</si>
  <si>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</si>
  <si>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</si>
  <si>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</si>
  <si>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</si>
  <si>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</si>
  <si>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</si>
  <si>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</si>
  <si>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</si>
  <si>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</si>
  <si>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</si>
  <si>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</si>
  <si>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</si>
  <si>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</si>
  <si>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</si>
  <si>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</si>
  <si>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</si>
  <si>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</si>
  <si>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</si>
  <si>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</si>
  <si>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</si>
  <si>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</si>
  <si>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</si>
  <si>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</si>
  <si>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</si>
  <si>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</si>
  <si>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</si>
  <si>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</si>
  <si>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</si>
  <si>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</si>
  <si>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</si>
  <si>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</si>
  <si>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</si>
  <si>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</si>
  <si>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</si>
  <si>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</si>
  <si>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</si>
  <si>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</si>
  <si>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</si>
  <si>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</si>
  <si>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</si>
  <si>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</si>
  <si>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</si>
  <si>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</si>
  <si>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</si>
  <si>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</si>
  <si>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</si>
  <si>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</si>
  <si>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</si>
  <si>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</si>
  <si>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</si>
  <si>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</si>
  <si>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</si>
  <si>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</si>
  <si>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</si>
  <si>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</si>
  <si>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</si>
  <si>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</si>
  <si>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</si>
  <si>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</si>
  <si>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</si>
  <si>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</si>
  <si>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</si>
  <si>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</si>
  <si>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</si>
  <si>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</si>
  <si>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</si>
  <si>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</si>
  <si>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</si>
  <si>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</si>
  <si>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</si>
  <si>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</si>
  <si>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</si>
  <si>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</si>
  <si>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</si>
  <si>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</si>
  <si>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</si>
  <si>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</si>
  <si>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</si>
  <si>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</si>
  <si>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</si>
  <si>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</si>
  <si>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</si>
  <si>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</si>
  <si>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</si>
  <si>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</si>
  <si>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</si>
  <si>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</si>
  <si>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</si>
  <si>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</si>
  <si>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</si>
  <si>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</si>
  <si>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</si>
  <si>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</si>
  <si>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</si>
  <si>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</si>
  <si>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</si>
  <si>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</si>
  <si>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</si>
  <si>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</si>
  <si>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</si>
  <si>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</si>
  <si>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</si>
  <si>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</si>
  <si>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</si>
  <si>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</si>
  <si>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</si>
  <si>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</si>
  <si>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</si>
  <si>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</si>
  <si>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</si>
  <si>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</si>
  <si>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</si>
  <si>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</si>
  <si>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</si>
  <si>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</si>
  <si>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</si>
  <si>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</si>
  <si>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</si>
  <si>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</si>
  <si>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</si>
  <si>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</si>
  <si>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</si>
  <si>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</si>
  <si>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</si>
  <si>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</si>
  <si>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</si>
  <si>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</si>
  <si>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</si>
  <si>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</si>
  <si>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</si>
  <si>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</si>
  <si>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</si>
  <si>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</si>
  <si>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</si>
  <si>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</si>
  <si>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</si>
  <si>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</si>
  <si>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</si>
  <si>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</si>
  <si>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</si>
  <si>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</si>
  <si>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</si>
  <si>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</si>
  <si>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</si>
  <si>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</si>
  <si>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</si>
  <si>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</si>
  <si>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</si>
  <si>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</si>
  <si>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</si>
  <si>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</si>
  <si>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</si>
  <si>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</si>
  <si>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</si>
  <si>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</si>
  <si>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</si>
  <si>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</si>
  <si>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</si>
  <si>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</si>
  <si>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</si>
  <si>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</si>
  <si>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</si>
  <si>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</si>
  <si>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</si>
  <si>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</si>
  <si>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</si>
  <si>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</si>
  <si>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</si>
  <si>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</si>
  <si>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</si>
  <si>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</si>
  <si>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</si>
  <si>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</si>
  <si>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</si>
  <si>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</si>
  <si>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</si>
  <si>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</si>
  <si>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</si>
  <si>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</si>
  <si>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</si>
  <si>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</si>
  <si>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</si>
  <si>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</si>
  <si>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</si>
  <si>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</si>
  <si>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</si>
  <si>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</si>
  <si>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</si>
  <si>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</si>
  <si>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</si>
  <si>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</si>
  <si>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</si>
  <si>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</si>
  <si>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</si>
  <si>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</si>
  <si>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</si>
  <si>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</si>
  <si>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</si>
  <si>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</si>
  <si>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</si>
  <si>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</si>
  <si>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</si>
  <si>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</si>
  <si>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</si>
  <si>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</si>
  <si>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</si>
  <si>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</si>
  <si>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</si>
  <si>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</si>
  <si>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</si>
  <si>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</si>
  <si>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</si>
  <si>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</si>
  <si>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</si>
  <si>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</si>
  <si>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</si>
  <si>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</si>
  <si>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</si>
  <si>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</si>
  <si>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</si>
  <si>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</si>
  <si>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</si>
  <si>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</si>
  <si>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</si>
  <si>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</si>
  <si>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</si>
  <si>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</si>
  <si>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</si>
  <si>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</si>
  <si>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</si>
  <si>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</si>
  <si>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</si>
  <si>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</si>
  <si>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</si>
  <si>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</si>
  <si>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</si>
  <si>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</si>
  <si>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</si>
  <si>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</si>
  <si>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</si>
  <si>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</si>
  <si>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</si>
  <si>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</si>
  <si>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</si>
  <si>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</si>
  <si>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</si>
  <si>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</si>
  <si>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</si>
  <si>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</si>
  <si>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</si>
  <si>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</si>
  <si>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</si>
  <si>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</si>
  <si>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</si>
  <si>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</si>
  <si>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</si>
  <si>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</si>
  <si>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</si>
  <si>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</si>
  <si>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</si>
  <si>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</si>
  <si>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</si>
  <si>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</si>
  <si>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</si>
  <si>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</si>
  <si>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</si>
  <si>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</si>
  <si>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</si>
  <si>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</si>
  <si>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</si>
  <si>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</si>
  <si>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</si>
  <si>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</si>
  <si>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</si>
  <si>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</si>
  <si>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</si>
  <si>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</si>
  <si>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</si>
  <si>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</si>
  <si>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</si>
  <si>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</si>
  <si>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</si>
  <si>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</si>
  <si>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</si>
  <si>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</si>
  <si>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</si>
  <si>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</si>
  <si>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</si>
  <si>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</si>
  <si>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</si>
  <si>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</si>
  <si>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</si>
  <si>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</si>
  <si>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</si>
  <si>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</si>
  <si>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</si>
  <si>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</si>
  <si>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</si>
  <si>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</si>
  <si>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</si>
  <si>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</si>
  <si>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</si>
  <si>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</si>
  <si>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</si>
  <si>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</si>
  <si>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</si>
  <si>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</si>
  <si>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</si>
  <si>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</si>
  <si>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</si>
  <si>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</si>
  <si>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</si>
  <si>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</si>
  <si>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</si>
  <si>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</si>
  <si>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</si>
  <si>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</si>
  <si>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</si>
  <si>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</si>
  <si>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</si>
  <si>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</si>
  <si>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</si>
  <si>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</si>
  <si>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</si>
  <si>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</si>
  <si>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</si>
  <si>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</si>
  <si>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</si>
  <si>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</si>
  <si>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</si>
  <si>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</si>
  <si>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</si>
  <si>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</si>
  <si>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</si>
  <si>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</si>
  <si>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</si>
  <si>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</si>
  <si>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</si>
  <si>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</si>
  <si>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</si>
  <si>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</si>
  <si>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</si>
  <si>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</si>
  <si>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</si>
  <si>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</si>
  <si>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</si>
  <si>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</si>
  <si>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</si>
  <si>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</si>
  <si>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</si>
  <si>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</si>
  <si>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</si>
  <si>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</si>
  <si>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</si>
  <si>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</si>
  <si>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</si>
  <si>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</si>
  <si>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</si>
  <si>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</si>
  <si>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</si>
  <si>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</si>
  <si>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</si>
  <si>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</si>
  <si>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</si>
  <si>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</si>
  <si>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</si>
  <si>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</si>
  <si>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</si>
  <si>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</si>
  <si>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</si>
  <si>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</si>
  <si>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</si>
  <si>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</si>
  <si>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</si>
  <si>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</si>
  <si>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</si>
  <si>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</si>
  <si>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</si>
  <si>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</si>
  <si>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</si>
  <si>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</si>
  <si>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</si>
  <si>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</si>
  <si>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</si>
  <si>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</si>
  <si>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</si>
  <si>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</si>
  <si>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</si>
  <si>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</si>
  <si>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</si>
  <si>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</si>
  <si>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</si>
  <si>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</si>
  <si>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</si>
  <si>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</si>
  <si>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</si>
  <si>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</si>
  <si>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</si>
  <si>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</si>
  <si>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</si>
  <si>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</si>
  <si>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</si>
  <si>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</si>
  <si>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</si>
  <si>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</si>
  <si>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</si>
  <si>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</si>
  <si>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</si>
  <si>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</si>
  <si>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</si>
  <si>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</si>
  <si>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</si>
  <si>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</si>
  <si>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</si>
  <si>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</si>
  <si>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</si>
  <si>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</si>
  <si>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</si>
  <si>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</si>
  <si>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</si>
  <si>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</si>
  <si>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</si>
  <si>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</si>
  <si>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</si>
  <si>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</si>
  <si>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</si>
  <si>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</si>
  <si>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</si>
  <si>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</si>
  <si>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</si>
  <si>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</si>
  <si>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</si>
  <si>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</si>
  <si>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</si>
  <si>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</si>
  <si>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</si>
  <si>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</si>
  <si>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</si>
  <si>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</si>
  <si>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</si>
  <si>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</si>
  <si>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</si>
  <si>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</si>
  <si>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</si>
  <si>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</si>
  <si>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</si>
  <si>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</si>
  <si>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</si>
  <si>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</si>
  <si>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</si>
  <si>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</si>
  <si>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</si>
  <si>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</si>
  <si>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</si>
  <si>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</si>
  <si>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</si>
  <si>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</si>
  <si>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</si>
  <si>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</si>
  <si>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</si>
  <si>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</si>
  <si>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</si>
  <si>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</si>
  <si>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</si>
  <si>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</si>
  <si>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</si>
  <si>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</si>
  <si>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</si>
  <si>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</si>
  <si>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</si>
  <si>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</si>
  <si>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</si>
  <si>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</si>
  <si>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</si>
  <si>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</si>
  <si>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</si>
  <si>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</si>
  <si>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</si>
  <si>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</si>
  <si>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</si>
  <si>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</si>
  <si>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</si>
  <si>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</si>
  <si>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</si>
  <si>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</si>
  <si>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</si>
  <si>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</si>
  <si>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</si>
  <si>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</si>
  <si>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</si>
  <si>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</si>
  <si>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</si>
  <si>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</si>
  <si>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</si>
  <si>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</si>
  <si>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</si>
  <si>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</si>
  <si>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</si>
  <si>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</si>
  <si>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</si>
  <si>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</si>
  <si>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</si>
  <si>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</si>
  <si>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</si>
  <si>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</si>
  <si>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</si>
  <si>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</si>
  <si>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</si>
  <si>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</si>
  <si>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</si>
  <si>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</si>
  <si>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</si>
  <si>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</si>
  <si>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</si>
  <si>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</si>
  <si>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</si>
  <si>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</si>
  <si>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</si>
  <si>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</si>
  <si>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</si>
  <si>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</si>
  <si>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</si>
  <si>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</si>
  <si>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</si>
  <si>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</si>
  <si>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</si>
  <si>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</si>
  <si>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</si>
  <si>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</si>
  <si>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</si>
  <si>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</si>
  <si>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</si>
  <si>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</si>
  <si>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</si>
  <si>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</si>
  <si>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</si>
  <si>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</si>
  <si>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</si>
  <si>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</si>
  <si>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</si>
  <si>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</si>
  <si>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</si>
  <si>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</si>
  <si>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</si>
  <si>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</si>
  <si>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</si>
  <si>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</si>
  <si>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</si>
  <si>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</si>
  <si>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</si>
  <si>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</si>
  <si>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</si>
  <si>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</si>
  <si>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</si>
  <si>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</si>
  <si>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</si>
  <si>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</si>
  <si>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</si>
  <si>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</si>
  <si>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</si>
  <si>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</si>
  <si>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</si>
  <si>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</si>
  <si>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</si>
  <si>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</si>
  <si>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</si>
  <si>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</si>
  <si>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</si>
  <si>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</si>
  <si>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</si>
  <si>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</si>
  <si>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</si>
  <si>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</si>
  <si>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</si>
  <si>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</si>
  <si>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</si>
  <si>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</si>
  <si>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</si>
  <si>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</si>
  <si>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</si>
  <si>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</si>
  <si>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</si>
  <si>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</si>
  <si>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</si>
  <si>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</si>
  <si>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</si>
  <si>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</si>
  <si>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</si>
  <si>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</si>
  <si>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</si>
  <si>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</si>
  <si>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</si>
  <si>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</si>
  <si>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</si>
  <si>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</si>
  <si>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</si>
  <si>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</si>
  <si>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</si>
  <si>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</si>
  <si>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</si>
  <si>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</si>
  <si>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</si>
  <si>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</si>
  <si>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</si>
  <si>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</si>
  <si>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</si>
  <si>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</si>
  <si>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</si>
  <si>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</si>
  <si>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</si>
  <si>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</si>
  <si>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</si>
  <si>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</si>
  <si>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</si>
  <si>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</si>
  <si>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</si>
  <si>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</si>
  <si>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</si>
  <si>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</si>
  <si>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</si>
  <si>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</si>
  <si>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</si>
  <si>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</si>
  <si>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</si>
  <si>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</si>
  <si>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</si>
  <si>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</si>
  <si>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</si>
  <si>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</si>
  <si>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</si>
  <si>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</si>
  <si>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</si>
  <si>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</si>
  <si>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</si>
  <si>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</si>
  <si>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</si>
  <si>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</si>
  <si>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</si>
  <si>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</si>
  <si>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</si>
  <si>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</si>
  <si>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</si>
  <si>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</si>
  <si>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</si>
  <si>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</si>
  <si>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</si>
  <si>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</si>
  <si>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</si>
  <si>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</si>
  <si>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</si>
  <si>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</si>
  <si>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</si>
  <si>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</si>
  <si>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</si>
  <si>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</si>
  <si>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</si>
  <si>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</si>
  <si>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</si>
  <si>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</si>
  <si>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</si>
  <si>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</si>
  <si>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</si>
  <si>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</si>
  <si>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</si>
  <si>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</si>
  <si>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</si>
  <si>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</si>
  <si>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</si>
  <si>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</si>
  <si>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</si>
  <si>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</si>
  <si>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</si>
  <si>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</si>
  <si>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</si>
  <si>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</si>
  <si>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</si>
  <si>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</si>
  <si>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</si>
  <si>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</si>
  <si>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</si>
  <si>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</si>
  <si>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</si>
  <si>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</si>
  <si>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</si>
  <si>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</si>
  <si>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</si>
  <si>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</si>
  <si>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</si>
  <si>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</si>
  <si>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</si>
  <si>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</si>
  <si>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</si>
  <si>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</si>
  <si>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</si>
  <si>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</si>
  <si>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</si>
  <si>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</si>
  <si>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</si>
  <si>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</si>
  <si>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</si>
  <si>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</si>
  <si>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</si>
  <si>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</si>
  <si>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</si>
  <si>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</si>
  <si>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</si>
  <si>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</si>
  <si>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</si>
  <si>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</si>
  <si>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</si>
  <si>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</si>
  <si>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</si>
  <si>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</si>
  <si>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</si>
  <si>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</si>
  <si>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</si>
  <si>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</si>
  <si>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</si>
  <si>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</si>
  <si>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</si>
  <si>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</si>
  <si>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</si>
  <si>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</si>
  <si>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</si>
  <si>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</si>
  <si>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</si>
  <si>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</si>
  <si>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</si>
  <si>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</si>
  <si>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</si>
  <si>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</si>
  <si>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</si>
  <si>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</si>
  <si>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</si>
  <si>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</si>
  <si>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</si>
  <si>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</si>
  <si>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</si>
  <si>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</si>
  <si>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</si>
  <si>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</si>
  <si>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</si>
  <si>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</si>
  <si>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</si>
  <si>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</si>
  <si>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</si>
  <si>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</si>
  <si>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</si>
  <si>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</si>
  <si>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</si>
  <si>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</si>
  <si>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</si>
  <si>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</si>
  <si>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</si>
  <si>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</si>
  <si>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</si>
  <si>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</si>
  <si>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</si>
  <si>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</si>
  <si>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</si>
  <si>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</si>
  <si>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</si>
  <si>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</si>
  <si>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</si>
  <si>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</si>
  <si>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</si>
  <si>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</si>
  <si>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</si>
  <si>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</si>
  <si>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</si>
  <si>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</si>
  <si>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</si>
  <si>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</si>
  <si>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</si>
  <si>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</si>
  <si>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</si>
  <si>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</si>
  <si>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</si>
  <si>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</si>
  <si>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</si>
  <si>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</si>
  <si>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</si>
  <si>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</si>
  <si>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</si>
  <si>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</si>
  <si>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</si>
  <si>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</si>
  <si>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</si>
  <si>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</si>
  <si>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</si>
  <si>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</si>
  <si>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</si>
  <si>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</si>
  <si>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</si>
  <si>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</si>
  <si>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</si>
  <si>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</si>
  <si>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</si>
  <si>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</si>
  <si>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</si>
  <si>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</si>
  <si>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</si>
  <si>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</si>
  <si>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</si>
  <si>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</si>
  <si>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</si>
  <si>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</si>
  <si>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</si>
  <si>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</si>
  <si>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</si>
  <si>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</si>
  <si>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</si>
  <si>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</si>
  <si>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</si>
  <si>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</si>
  <si>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</si>
  <si>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</si>
  <si>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</si>
  <si>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</si>
  <si>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</si>
  <si>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</si>
  <si>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</si>
  <si>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</si>
  <si>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</si>
  <si>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</si>
  <si>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</si>
  <si>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</si>
  <si>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</si>
  <si>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</si>
  <si>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</si>
  <si>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</si>
  <si>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</si>
  <si>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</si>
  <si>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</si>
  <si>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</si>
  <si>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</si>
  <si>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</si>
  <si>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</si>
  <si>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</si>
  <si>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</si>
  <si>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</si>
  <si>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</si>
  <si>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</si>
  <si>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</si>
  <si>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</si>
  <si>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</si>
  <si>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</si>
  <si>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</si>
  <si>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</si>
  <si>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</si>
  <si>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</si>
  <si>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</si>
  <si>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</si>
  <si>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</si>
  <si>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</si>
  <si>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</si>
  <si>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</si>
  <si>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</si>
  <si>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</si>
  <si>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</si>
  <si>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</si>
  <si>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</si>
  <si>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</si>
  <si>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</si>
  <si>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</si>
  <si>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</si>
  <si>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</si>
  <si>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</si>
  <si>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</si>
  <si>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</si>
  <si>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</si>
  <si>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</si>
  <si>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</si>
  <si>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</si>
  <si>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</si>
  <si>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</si>
  <si>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</si>
  <si>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</si>
  <si>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</si>
  <si>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</si>
  <si>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</si>
  <si>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</si>
  <si>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</si>
  <si>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</si>
  <si>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</si>
  <si>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</si>
  <si>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</si>
  <si>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</si>
  <si>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</si>
  <si>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</si>
  <si>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</si>
  <si>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</si>
  <si>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</si>
  <si>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</si>
  <si>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</si>
  <si>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</si>
  <si>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</si>
  <si>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</si>
  <si>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</si>
  <si>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</si>
  <si>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</si>
  <si>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</si>
  <si>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</si>
  <si>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</si>
  <si>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</si>
  <si>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</si>
  <si>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</si>
  <si>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</si>
  <si>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</si>
  <si>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</si>
  <si>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</si>
  <si>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</si>
  <si>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</si>
  <si>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</si>
  <si>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</si>
  <si>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</si>
  <si>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</si>
  <si>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</si>
  <si>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</si>
  <si>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</si>
  <si>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</si>
  <si>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</si>
  <si>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</si>
  <si>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</si>
  <si>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</si>
  <si>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</si>
  <si>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</si>
  <si>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</si>
  <si>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</si>
  <si>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</si>
  <si>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</si>
  <si>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</si>
  <si>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</si>
  <si>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</si>
  <si>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</si>
  <si>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</si>
  <si>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</si>
  <si>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</si>
  <si>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</si>
  <si>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</si>
  <si>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</si>
  <si>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</si>
  <si>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</si>
  <si>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</si>
  <si>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</si>
  <si>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</si>
  <si>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</si>
  <si>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</si>
  <si>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</si>
  <si>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</si>
  <si>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</si>
  <si>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</si>
  <si>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</si>
  <si>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</si>
  <si>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</si>
  <si>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</si>
  <si>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</si>
  <si>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</si>
  <si>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</si>
  <si>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</si>
  <si>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</si>
  <si>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</si>
  <si>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</si>
  <si>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</si>
  <si>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</si>
  <si>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</si>
  <si>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</si>
  <si>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</si>
  <si>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</si>
  <si>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</si>
  <si>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</si>
  <si>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</si>
  <si>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</si>
  <si>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</si>
  <si>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</si>
  <si>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</si>
  <si>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</si>
  <si>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</si>
  <si>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</si>
  <si>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</si>
  <si>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</si>
  <si>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</si>
  <si>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</si>
  <si>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</si>
  <si>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</si>
  <si>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</si>
  <si>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</si>
  <si>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</si>
  <si>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</si>
  <si>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</si>
  <si>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</si>
  <si>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</si>
  <si>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</si>
  <si>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</si>
  <si>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</si>
  <si>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</si>
  <si>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</si>
  <si>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</si>
  <si>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</si>
  <si>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</si>
  <si>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</si>
  <si>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</si>
  <si>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</si>
  <si>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</si>
  <si>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</si>
  <si>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</si>
  <si>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</si>
  <si>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</si>
  <si>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</si>
  <si>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</si>
  <si>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</si>
  <si>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</si>
  <si>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</si>
  <si>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</si>
  <si>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</si>
  <si>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</si>
  <si>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</si>
  <si>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</si>
  <si>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</si>
  <si>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</si>
  <si>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</si>
  <si>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</si>
  <si>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</si>
  <si>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</si>
  <si>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</si>
  <si>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</si>
  <si>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</si>
  <si>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</si>
  <si>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</si>
  <si>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</si>
  <si>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</si>
  <si>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</si>
  <si>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</si>
  <si>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</si>
  <si>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</si>
  <si>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</si>
  <si>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</si>
  <si>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</si>
  <si>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</si>
  <si>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</si>
  <si>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</si>
  <si>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</si>
  <si>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</si>
  <si>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</si>
  <si>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</si>
  <si>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</si>
  <si>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</si>
  <si>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</si>
  <si>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</si>
  <si>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</si>
  <si>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</si>
  <si>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</si>
  <si>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</si>
  <si>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</si>
  <si>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</si>
  <si>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</si>
  <si>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</si>
  <si>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</si>
  <si>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</si>
  <si>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</si>
  <si>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</si>
  <si>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</si>
  <si>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</si>
  <si>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</si>
  <si>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</si>
  <si>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</si>
  <si>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</si>
  <si>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</si>
  <si>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</si>
  <si>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</si>
  <si>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</si>
  <si>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</si>
  <si>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</si>
  <si>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</si>
  <si>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</si>
  <si>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</si>
  <si>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</si>
  <si>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</si>
  <si>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</si>
  <si>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</si>
  <si>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</si>
  <si>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</si>
  <si>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</si>
  <si>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</si>
  <si>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</si>
  <si>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</si>
  <si>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</si>
  <si>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</si>
  <si>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</si>
  <si>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</si>
  <si>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</si>
  <si>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</si>
  <si>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</si>
  <si>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</si>
  <si>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</si>
  <si>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</si>
  <si>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</si>
  <si>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</si>
  <si>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</si>
  <si>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</si>
  <si>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</si>
  <si>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</si>
  <si>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</si>
  <si>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</si>
  <si>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</si>
  <si>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</si>
  <si>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</si>
  <si>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</si>
  <si>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</si>
  <si>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</si>
  <si>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</si>
  <si>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</si>
  <si>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</si>
  <si>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</si>
  <si>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</si>
  <si>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</si>
  <si>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</si>
  <si>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</si>
  <si>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</si>
  <si>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</si>
  <si>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</si>
  <si>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</si>
  <si>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</si>
  <si>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</si>
  <si>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</si>
  <si>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</si>
  <si>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</si>
  <si>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</si>
  <si>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</si>
  <si>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</si>
  <si>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</si>
  <si>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</si>
  <si>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</si>
  <si>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</si>
  <si>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</si>
  <si>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</si>
  <si>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</si>
  <si>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</si>
  <si>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</si>
  <si>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</si>
  <si>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</si>
  <si>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</si>
  <si>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</si>
  <si>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</si>
  <si>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</si>
  <si>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</si>
  <si>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</si>
  <si>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</si>
  <si>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</si>
  <si>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</si>
  <si>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</si>
  <si>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</si>
  <si>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</si>
  <si>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</si>
  <si>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</si>
  <si>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</si>
  <si>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</si>
  <si>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</si>
  <si>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</si>
  <si>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</si>
  <si>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</si>
  <si>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</si>
  <si>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</si>
  <si>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</si>
  <si>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</si>
  <si>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</si>
  <si>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</si>
  <si>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</si>
  <si>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</si>
  <si>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</si>
  <si>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</si>
  <si>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</si>
  <si>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</si>
  <si>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</si>
  <si>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</si>
  <si>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</si>
  <si>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</si>
  <si>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</si>
  <si>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</si>
  <si>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</si>
  <si>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</si>
  <si>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</si>
  <si>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</si>
  <si>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</si>
  <si>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</si>
  <si>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</si>
  <si>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</si>
  <si>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</si>
  <si>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</si>
  <si>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</si>
  <si>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</si>
  <si>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</si>
  <si>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</si>
  <si>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</si>
  <si>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</si>
  <si>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</si>
  <si>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</si>
  <si>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</si>
  <si>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</si>
  <si>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</si>
  <si>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</si>
  <si>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</si>
  <si>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</si>
  <si>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</si>
  <si>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</si>
  <si>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</si>
  <si>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</si>
  <si>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</si>
  <si>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</si>
  <si>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</si>
  <si>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</si>
  <si>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</si>
  <si>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</si>
  <si>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</si>
  <si>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</si>
  <si>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</si>
  <si>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</si>
  <si>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</si>
  <si>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</si>
  <si>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</si>
  <si>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</si>
  <si>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</si>
  <si>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</si>
  <si>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</si>
  <si>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</si>
  <si>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</si>
  <si>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</si>
  <si>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</si>
  <si>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</si>
  <si>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</si>
  <si>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</si>
  <si>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</si>
  <si>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</si>
  <si>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</si>
  <si>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</si>
  <si>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</si>
  <si>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</si>
  <si>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</si>
  <si>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</si>
  <si>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</si>
  <si>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</si>
  <si>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</si>
  <si>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</si>
  <si>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</si>
  <si>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</si>
  <si>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</si>
  <si>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</si>
  <si>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</si>
  <si>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</si>
  <si>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</si>
  <si>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</si>
  <si>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</si>
  <si>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</si>
  <si>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</si>
  <si>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</si>
  <si>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</si>
  <si>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</si>
  <si>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</si>
  <si>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</si>
  <si>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</si>
  <si>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</si>
  <si>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</si>
  <si>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</si>
  <si>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</si>
  <si>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</si>
  <si>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</si>
  <si>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</si>
  <si>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</si>
  <si>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</si>
  <si>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</si>
  <si>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</si>
  <si>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</si>
  <si>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</si>
  <si>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</si>
  <si>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</si>
  <si>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</si>
  <si>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</si>
  <si>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</si>
  <si>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</si>
  <si>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</si>
  <si>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</si>
  <si>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</si>
  <si>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</si>
  <si>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</si>
  <si>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</si>
  <si>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</si>
  <si>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</si>
  <si>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</si>
  <si>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</si>
  <si>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</si>
  <si>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</si>
  <si>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</si>
  <si>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</si>
  <si>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</si>
  <si>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</si>
  <si>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</si>
  <si>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</si>
  <si>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</si>
  <si>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</si>
  <si>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</si>
  <si>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</si>
  <si>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</si>
  <si>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</si>
  <si>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</si>
  <si>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</si>
  <si>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</si>
  <si>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</si>
  <si>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</si>
  <si>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</si>
  <si>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</si>
  <si>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</si>
  <si>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</si>
  <si>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</si>
  <si>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</si>
  <si>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</si>
  <si>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</si>
  <si>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</si>
  <si>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</si>
  <si>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</si>
  <si>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</si>
  <si>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</si>
  <si>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</si>
  <si>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</si>
  <si>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</si>
  <si>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</si>
  <si>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</si>
  <si>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</si>
  <si>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</si>
  <si>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</si>
  <si>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</si>
  <si>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</si>
  <si>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</si>
  <si>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</si>
  <si>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</si>
  <si>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</si>
  <si>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</si>
  <si>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</si>
  <si>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</si>
  <si>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</si>
  <si>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</si>
  <si>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</si>
  <si>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</si>
  <si>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</si>
  <si>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</si>
  <si>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</si>
  <si>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</si>
  <si>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</si>
  <si>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</si>
  <si>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</si>
  <si>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</si>
  <si>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</si>
  <si>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</si>
  <si>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</si>
  <si>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</si>
  <si>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</si>
  <si>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</si>
  <si>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</si>
  <si>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</si>
  <si>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</si>
  <si>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</si>
  <si>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</si>
  <si>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</si>
  <si>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</si>
  <si>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</si>
  <si>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</si>
  <si>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</si>
  <si>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</si>
  <si>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</si>
  <si>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</si>
  <si>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</si>
  <si>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</si>
  <si>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</si>
  <si>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</si>
  <si>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</si>
  <si>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</si>
  <si>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</si>
  <si>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</si>
  <si>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</si>
  <si>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</si>
  <si>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</si>
  <si>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</si>
  <si>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</si>
  <si>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</si>
  <si>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</si>
  <si>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</si>
  <si>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</si>
  <si>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</si>
  <si>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</si>
  <si>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</si>
  <si>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</si>
  <si>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</si>
  <si>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</si>
  <si>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</si>
  <si>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</si>
  <si>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</si>
  <si>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</si>
  <si>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</si>
  <si>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</si>
  <si>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</si>
  <si>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</si>
  <si>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</si>
  <si>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</si>
  <si>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</si>
  <si>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</si>
  <si>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</si>
  <si>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</si>
  <si>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</si>
  <si>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</si>
  <si>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</si>
  <si>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</si>
  <si>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</si>
  <si>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</si>
  <si>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</si>
  <si>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</si>
  <si>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</si>
  <si>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</si>
  <si>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</si>
  <si>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</si>
  <si>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</si>
  <si>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</si>
  <si>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</si>
  <si>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</si>
  <si>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</si>
  <si>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</si>
  <si>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</si>
  <si>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</si>
  <si>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</si>
  <si>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</si>
  <si>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</si>
  <si>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</si>
  <si>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</si>
  <si>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</si>
  <si>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</si>
  <si>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</si>
  <si>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</si>
  <si>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</si>
  <si>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</si>
  <si>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</si>
  <si>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</si>
  <si>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</si>
  <si>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</si>
  <si>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</si>
  <si>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</si>
  <si>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</si>
  <si>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</si>
  <si>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</si>
  <si>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</si>
  <si>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</si>
  <si>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</si>
  <si>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</si>
  <si>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</si>
  <si>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</si>
  <si>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</si>
  <si>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</si>
  <si>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</si>
  <si>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</si>
  <si>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</si>
  <si>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</si>
  <si>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</si>
  <si>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</si>
  <si>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</si>
  <si>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</si>
  <si>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</si>
  <si>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</si>
  <si>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</si>
  <si>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</si>
  <si>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</si>
  <si>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</si>
  <si>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</si>
  <si>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</si>
  <si>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</si>
  <si>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</si>
  <si>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</si>
  <si>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</si>
  <si>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</si>
  <si>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</si>
  <si>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</si>
  <si>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</si>
  <si>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</si>
  <si>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</si>
  <si>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</si>
  <si>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</si>
  <si>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</si>
  <si>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</si>
  <si>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</si>
  <si>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</si>
  <si>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</si>
  <si>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</si>
  <si>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</si>
  <si>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</si>
  <si>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</si>
  <si>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</si>
  <si>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</si>
  <si>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</si>
  <si>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</si>
  <si>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</si>
  <si>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</si>
  <si>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</si>
  <si>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</si>
  <si>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</si>
  <si>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</si>
  <si>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</si>
  <si>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</si>
  <si>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</si>
  <si>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</si>
  <si>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</si>
  <si>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</si>
  <si>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</si>
  <si>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</si>
  <si>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</si>
  <si>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</si>
  <si>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</si>
  <si>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</si>
  <si>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</si>
  <si>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</si>
  <si>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</si>
  <si>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</si>
  <si>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</si>
  <si>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</si>
  <si>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</si>
  <si>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</si>
  <si>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</si>
  <si>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</si>
  <si>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</si>
  <si>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</si>
  <si>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</si>
  <si>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</si>
  <si>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</si>
  <si>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</si>
  <si>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</si>
  <si>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</si>
  <si>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</si>
  <si>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</si>
  <si>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</si>
  <si>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</si>
  <si>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</si>
  <si>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</si>
  <si>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</si>
  <si>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</si>
  <si>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</si>
  <si>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</si>
  <si>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</si>
  <si>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</si>
  <si>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</si>
  <si>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</si>
  <si>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</si>
  <si>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</si>
  <si>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</si>
  <si>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</si>
  <si>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</si>
  <si>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</si>
  <si>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</si>
  <si>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</si>
  <si>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</si>
  <si>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</si>
  <si>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</si>
  <si>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</si>
  <si>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</si>
  <si>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</si>
  <si>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</si>
  <si>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</si>
  <si>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</si>
  <si>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</si>
  <si>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</si>
  <si>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</si>
  <si>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</si>
  <si>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</si>
  <si>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</si>
  <si>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</si>
  <si>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</si>
  <si>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</si>
  <si>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</si>
  <si>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</si>
  <si>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</si>
  <si>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</si>
  <si>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</si>
  <si>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</si>
  <si>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</si>
  <si>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</si>
  <si>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</si>
  <si>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</si>
  <si>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</si>
  <si>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</si>
  <si>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</si>
  <si>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</si>
  <si>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</si>
  <si>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</si>
  <si>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</si>
  <si>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</si>
  <si>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</si>
  <si>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</si>
  <si>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</si>
  <si>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</si>
  <si>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</si>
  <si>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</si>
  <si>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</si>
  <si>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</si>
  <si>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</si>
  <si>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</si>
  <si>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</si>
  <si>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</si>
  <si>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</si>
  <si>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</si>
  <si>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</si>
  <si>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</si>
  <si>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</si>
  <si>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</si>
  <si>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</si>
  <si>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</si>
  <si>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</si>
  <si>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</si>
  <si>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</si>
  <si>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</si>
  <si>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</si>
  <si>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</si>
  <si>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</si>
  <si>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</si>
  <si>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</si>
  <si>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</si>
  <si>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</si>
  <si>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</si>
  <si>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</si>
  <si>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</si>
  <si>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</si>
  <si>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</si>
  <si>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</si>
  <si>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</si>
  <si>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</si>
  <si>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</si>
  <si>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</si>
  <si>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</si>
  <si>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</si>
  <si>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</si>
  <si>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</si>
  <si>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</si>
  <si>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</si>
  <si>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</si>
  <si>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</si>
  <si>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</si>
  <si>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</si>
  <si>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</si>
  <si>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</si>
  <si>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</si>
  <si>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</si>
  <si>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</si>
  <si>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</si>
  <si>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</si>
  <si>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</si>
  <si>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</si>
  <si>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</si>
  <si>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</si>
  <si>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</si>
  <si>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</si>
  <si>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</si>
  <si>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</si>
  <si>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</si>
  <si>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</si>
  <si>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</si>
  <si>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</si>
  <si>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</si>
  <si>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</si>
  <si>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</si>
  <si>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</si>
  <si>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</si>
  <si>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</si>
  <si>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</si>
  <si>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</si>
  <si>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</si>
  <si>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</si>
  <si>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</si>
  <si>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</si>
  <si>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</si>
  <si>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</si>
  <si>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</si>
  <si>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</si>
  <si>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</si>
  <si>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</si>
  <si>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</si>
  <si>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</si>
  <si>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</si>
  <si>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</si>
  <si>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</si>
  <si>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</si>
  <si>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</si>
  <si>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</si>
  <si>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</si>
  <si>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</si>
  <si>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</si>
  <si>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</si>
  <si>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</si>
  <si>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</si>
  <si>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</si>
  <si>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</si>
  <si>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</si>
  <si>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</si>
  <si>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</si>
  <si>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</si>
  <si>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</si>
  <si>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</si>
  <si>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</si>
  <si>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</si>
  <si>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</si>
  <si>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</si>
  <si>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</si>
  <si>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</si>
  <si>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</si>
  <si>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</si>
  <si>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</si>
  <si>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</si>
  <si>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</si>
  <si>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</si>
  <si>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</si>
  <si>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</si>
  <si>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</si>
  <si>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</si>
  <si>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</si>
  <si>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</si>
  <si>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</si>
  <si>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</si>
  <si>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</si>
  <si>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</si>
  <si>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</si>
  <si>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</si>
  <si>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</si>
  <si>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</si>
  <si>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</si>
  <si>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</si>
  <si>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</si>
  <si>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</si>
  <si>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</si>
  <si>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</si>
  <si>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</si>
  <si>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</si>
  <si>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</si>
  <si>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</si>
  <si>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</si>
  <si>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</si>
  <si>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</si>
  <si>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</si>
  <si>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</si>
  <si>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</si>
  <si>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</si>
  <si>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</si>
  <si>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</si>
  <si>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</si>
  <si>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</si>
  <si>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</si>
  <si>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</si>
  <si>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</si>
  <si>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</si>
  <si>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</si>
  <si>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</si>
  <si>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</si>
  <si>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</si>
  <si>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</si>
  <si>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</si>
  <si>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</si>
  <si>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</si>
  <si>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</si>
  <si>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</si>
  <si>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</si>
  <si>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</si>
  <si>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</si>
  <si>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</si>
  <si>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</si>
  <si>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</si>
  <si>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</si>
  <si>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</si>
  <si>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</si>
  <si>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</si>
  <si>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</si>
  <si>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</si>
  <si>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</si>
  <si>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</si>
  <si>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</si>
  <si>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</si>
  <si>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</si>
  <si>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</si>
  <si>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</si>
  <si>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</si>
  <si>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</si>
  <si>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</si>
  <si>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</si>
  <si>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</si>
  <si>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</si>
  <si>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</si>
  <si>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</si>
  <si>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</si>
  <si>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</si>
  <si>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</si>
  <si>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</si>
  <si>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</si>
  <si>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</si>
  <si>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</si>
  <si>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</si>
  <si>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</si>
  <si>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</si>
  <si>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</si>
  <si>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</si>
  <si>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</si>
  <si>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</si>
  <si>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</si>
  <si>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</si>
  <si>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</si>
  <si>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</si>
  <si>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</si>
  <si>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</si>
  <si>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</si>
  <si>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</si>
  <si>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</si>
  <si>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</si>
  <si>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</si>
  <si>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</si>
  <si>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</si>
  <si>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</si>
  <si>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</si>
  <si>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</si>
  <si>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</si>
  <si>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</si>
  <si>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</si>
  <si>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</si>
  <si>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</si>
  <si>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</si>
  <si>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</si>
  <si>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</si>
  <si>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</si>
  <si>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</si>
  <si>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</si>
  <si>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</si>
  <si>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</si>
  <si>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</si>
  <si>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</si>
  <si>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</si>
  <si>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</si>
  <si>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</si>
  <si>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</si>
  <si>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</si>
  <si>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</si>
  <si>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</si>
  <si>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</si>
  <si>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</si>
  <si>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</si>
  <si>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</si>
  <si>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</si>
  <si>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</si>
  <si>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</si>
  <si>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</si>
  <si>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</si>
  <si>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</si>
  <si>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</si>
  <si>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</si>
  <si>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</si>
  <si>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</si>
  <si>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</si>
  <si>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</si>
  <si>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</si>
  <si>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</si>
  <si>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</si>
  <si>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</si>
  <si>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</si>
  <si>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</si>
  <si>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</si>
  <si>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</si>
  <si>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</si>
  <si>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</si>
  <si>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</si>
  <si>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</si>
  <si>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</si>
  <si>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</si>
  <si>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</si>
  <si>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</si>
  <si>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</si>
  <si>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</si>
  <si>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</si>
  <si>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</si>
  <si>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</si>
  <si>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</si>
  <si>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</si>
  <si>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</si>
  <si>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</si>
  <si>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</si>
  <si>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</si>
  <si>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</si>
  <si>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</si>
  <si>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</si>
  <si>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</si>
  <si>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</si>
  <si>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</si>
  <si>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</si>
  <si>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</si>
  <si>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</si>
  <si>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</si>
  <si>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</si>
  <si>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</si>
  <si>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</si>
  <si>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</si>
  <si>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</si>
  <si>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</si>
  <si>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</si>
  <si>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</si>
  <si>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</si>
  <si>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</si>
  <si>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</si>
  <si>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</si>
  <si>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</si>
  <si>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</si>
  <si>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</si>
  <si>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</si>
  <si>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</si>
  <si>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</si>
  <si>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</si>
  <si>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</si>
  <si>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</si>
  <si>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</si>
  <si>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</si>
  <si>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</si>
  <si>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</si>
  <si>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</si>
  <si>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</si>
  <si>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</si>
  <si>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</si>
  <si>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</si>
  <si>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</si>
  <si>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</si>
  <si>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</si>
  <si>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</si>
  <si>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</si>
  <si>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</si>
  <si>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</si>
  <si>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</si>
  <si>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</si>
  <si>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</si>
  <si>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</si>
  <si>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</si>
  <si>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</si>
  <si>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</si>
  <si>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</si>
  <si>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</si>
  <si>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</si>
  <si>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</si>
  <si>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</si>
  <si>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</si>
  <si>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</si>
  <si>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</si>
  <si>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</si>
  <si>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</si>
  <si>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</si>
  <si>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</si>
  <si>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</si>
  <si>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</si>
  <si>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</si>
  <si>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</si>
  <si>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</si>
  <si>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</si>
  <si>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</si>
  <si>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</si>
  <si>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</si>
  <si>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</si>
  <si>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</si>
  <si>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</si>
  <si>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</si>
  <si>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</si>
  <si>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</si>
  <si>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</si>
  <si>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</si>
  <si>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</si>
  <si>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</si>
  <si>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</si>
  <si>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</si>
  <si>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</si>
  <si>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</si>
  <si>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</si>
  <si>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</si>
  <si>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</si>
  <si>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</si>
  <si>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</si>
  <si>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</si>
  <si>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</si>
  <si>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</si>
  <si>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</si>
  <si>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</si>
  <si>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</si>
  <si>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</si>
  <si>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</si>
  <si>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</si>
  <si>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</si>
  <si>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</si>
  <si>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</si>
  <si>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</si>
  <si>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</si>
  <si>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</si>
  <si>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</si>
  <si>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</si>
  <si>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</si>
  <si>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</si>
  <si>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</si>
  <si>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</si>
  <si>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</si>
  <si>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</si>
  <si>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</si>
  <si>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</si>
  <si>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</si>
  <si>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</si>
  <si>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</si>
  <si>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</si>
  <si>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</si>
  <si>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</si>
  <si>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</si>
  <si>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</si>
  <si>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</si>
  <si>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</si>
  <si>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</si>
  <si>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</si>
  <si>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</si>
  <si>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</si>
  <si>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</si>
  <si>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</si>
  <si>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</si>
  <si>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</si>
  <si>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</si>
  <si>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</si>
  <si>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</si>
  <si>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</si>
  <si>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</si>
  <si>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</si>
  <si>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</si>
  <si>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</si>
  <si>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</si>
  <si>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</si>
  <si>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</si>
  <si>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</si>
  <si>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</si>
  <si>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</si>
  <si>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</si>
  <si>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</si>
  <si>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</si>
  <si>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</si>
  <si>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</si>
  <si>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</si>
  <si>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</si>
  <si>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</si>
  <si>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</si>
  <si>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</si>
  <si>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</si>
  <si>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</si>
  <si>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</si>
  <si>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</si>
  <si>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</si>
  <si>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</si>
  <si>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</si>
  <si>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</si>
  <si>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</si>
  <si>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</si>
  <si>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</si>
  <si>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</si>
  <si>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</si>
  <si>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</si>
  <si>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</si>
  <si>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</si>
  <si>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</si>
  <si>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</si>
  <si>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</si>
  <si>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</si>
  <si>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</si>
  <si>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</si>
  <si>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</si>
  <si>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</si>
  <si>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</si>
  <si>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</si>
  <si>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</si>
  <si>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</si>
  <si>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</si>
  <si>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</si>
  <si>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</si>
  <si>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</si>
  <si>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</si>
  <si>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</si>
  <si>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</si>
  <si>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</si>
  <si>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</si>
  <si>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</si>
  <si>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</si>
  <si>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</si>
  <si>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</si>
  <si>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</si>
  <si>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</si>
  <si>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</si>
  <si>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</si>
  <si>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</si>
  <si>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</si>
  <si>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</si>
  <si>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</si>
  <si>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</si>
  <si>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</si>
  <si>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</si>
  <si>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</si>
  <si>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</si>
  <si>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</si>
  <si>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</si>
  <si>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</si>
  <si>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</si>
  <si>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</si>
  <si>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</si>
  <si>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</si>
  <si>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</si>
  <si>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</si>
  <si>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</si>
  <si>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</si>
  <si>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</si>
  <si>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</si>
  <si>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</si>
  <si>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</si>
  <si>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</si>
  <si>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</si>
  <si>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</si>
  <si>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</si>
  <si>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</si>
  <si>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</si>
  <si>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</si>
  <si>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</si>
  <si>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</si>
  <si>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</si>
  <si>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</si>
  <si>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</si>
  <si>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</si>
  <si>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</si>
  <si>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</si>
  <si>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</si>
  <si>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</si>
  <si>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</si>
  <si>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</si>
  <si>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</si>
  <si>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</si>
  <si>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</si>
  <si>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</si>
  <si>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</si>
  <si>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</si>
  <si>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</si>
  <si>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</si>
  <si>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</si>
  <si>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</si>
  <si>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</si>
  <si>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</si>
  <si>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</si>
  <si>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</si>
  <si>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</si>
  <si>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</si>
  <si>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</si>
  <si>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</si>
  <si>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</si>
  <si>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</si>
  <si>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</si>
  <si>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</si>
  <si>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</si>
  <si>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</si>
  <si>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</si>
  <si>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</si>
  <si>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</si>
  <si>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</si>
  <si>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</si>
  <si>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</si>
  <si>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</si>
  <si>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</si>
  <si>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</si>
  <si>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</si>
  <si>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</si>
  <si>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</si>
  <si>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</si>
  <si>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</si>
  <si>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</si>
  <si>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</si>
  <si>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</si>
  <si>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</si>
  <si>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</si>
  <si>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</si>
  <si>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</si>
  <si>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</si>
  <si>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</si>
  <si>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</si>
  <si>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</si>
  <si>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</si>
  <si>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</si>
  <si>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</si>
  <si>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</si>
  <si>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</si>
  <si>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</si>
  <si>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</si>
  <si>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</si>
  <si>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</si>
  <si>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</si>
  <si>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</si>
  <si>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</si>
  <si>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</si>
  <si>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</si>
  <si>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</si>
  <si>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</si>
  <si>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</si>
  <si>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</si>
  <si>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</si>
  <si>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</si>
  <si>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</si>
  <si>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</si>
  <si>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</si>
  <si>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</si>
  <si>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</si>
  <si>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</si>
  <si>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</si>
  <si>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</si>
  <si>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</si>
  <si>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</si>
  <si>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</si>
  <si>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</si>
  <si>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</si>
  <si>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</si>
  <si>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</si>
  <si>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</si>
  <si>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</si>
  <si>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</si>
  <si>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</si>
  <si>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</si>
  <si>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</si>
  <si>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</si>
  <si>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</si>
  <si>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</si>
  <si>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</si>
  <si>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</si>
  <si>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</si>
  <si>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</si>
  <si>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</si>
  <si>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</si>
  <si>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</si>
  <si>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</si>
  <si>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</si>
  <si>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</si>
  <si>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</si>
  <si>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</si>
  <si>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</si>
  <si>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</si>
  <si>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</si>
  <si>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</si>
  <si>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</si>
  <si>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</si>
  <si>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</si>
  <si>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</si>
  <si>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</si>
  <si>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</si>
  <si>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</si>
  <si>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</si>
  <si>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</si>
  <si>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</si>
  <si>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</si>
  <si>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</si>
  <si>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</si>
  <si>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</si>
  <si>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</si>
  <si>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</si>
  <si>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</si>
  <si>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</si>
  <si>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</si>
  <si>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</si>
  <si>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</si>
  <si>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</si>
  <si>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</si>
  <si>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</si>
  <si>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</si>
  <si>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</si>
  <si>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</si>
  <si>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</si>
  <si>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</si>
  <si>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</si>
  <si>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</si>
  <si>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</si>
  <si>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</si>
  <si>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</si>
  <si>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</si>
  <si>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</si>
  <si>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</si>
  <si>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</si>
  <si>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</si>
  <si>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</si>
  <si>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</si>
  <si>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</si>
  <si>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</si>
  <si>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</si>
  <si>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</si>
  <si>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</si>
  <si>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</si>
  <si>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</si>
  <si>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</si>
  <si>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</si>
  <si>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</si>
  <si>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</si>
  <si>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</si>
  <si>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</si>
  <si>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</si>
  <si>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</si>
  <si>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</si>
  <si>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</si>
  <si>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</si>
  <si>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</si>
  <si>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</si>
  <si>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</si>
  <si>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</si>
  <si>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</si>
  <si>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</si>
  <si>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</si>
  <si>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</si>
  <si>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</si>
  <si>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</si>
  <si>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</si>
  <si>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</si>
  <si>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</si>
  <si>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</si>
  <si>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</si>
  <si>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</si>
  <si>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</si>
  <si>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</si>
  <si>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</si>
  <si>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</si>
  <si>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</si>
  <si>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</si>
  <si>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</si>
  <si>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</si>
  <si>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</si>
  <si>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</si>
  <si>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</si>
  <si>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</si>
  <si>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</si>
  <si>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</si>
  <si>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</si>
  <si>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</si>
  <si>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</si>
  <si>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</si>
  <si>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</si>
  <si>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</si>
  <si>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</si>
  <si>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</si>
  <si>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</si>
  <si>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</si>
  <si>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</si>
  <si>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</si>
  <si>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</si>
  <si>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</si>
  <si>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</si>
  <si>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</si>
  <si>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</si>
  <si>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</si>
  <si>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</si>
  <si>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</si>
  <si>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</si>
  <si>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</si>
  <si>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</si>
  <si>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</si>
  <si>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</si>
  <si>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</si>
  <si>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</si>
  <si>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</si>
  <si>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</si>
  <si>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</si>
  <si>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</si>
  <si>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</si>
  <si>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</si>
  <si>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</si>
  <si>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</si>
  <si>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</si>
  <si>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</si>
  <si>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</si>
  <si>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</si>
  <si>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</si>
  <si>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</si>
  <si>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</si>
  <si>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</si>
  <si>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</si>
  <si>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</si>
  <si>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</si>
  <si>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</si>
  <si>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</si>
  <si>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</si>
  <si>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</si>
  <si>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</si>
  <si>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</si>
  <si>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</si>
  <si>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</si>
  <si>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</si>
  <si>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</si>
  <si>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</si>
  <si>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</si>
  <si>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</si>
  <si>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</si>
  <si>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</si>
  <si>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</si>
  <si>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</si>
  <si>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</si>
  <si>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</si>
  <si>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</si>
  <si>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</si>
  <si>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</si>
  <si>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</si>
  <si>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</si>
  <si>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</si>
  <si>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</si>
  <si>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</si>
  <si>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</si>
  <si>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</si>
  <si>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</si>
  <si>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</si>
  <si>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</si>
  <si>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</si>
  <si>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</si>
  <si>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</si>
  <si>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</si>
  <si>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</si>
  <si>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</si>
  <si>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</si>
  <si>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</si>
  <si>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</si>
  <si>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</si>
  <si>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</si>
  <si>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</si>
  <si>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</si>
  <si>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</si>
  <si>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</si>
  <si>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</si>
  <si>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</si>
  <si>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</si>
  <si>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</si>
  <si>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</si>
  <si>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</si>
  <si>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</si>
  <si>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</si>
  <si>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</si>
  <si>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</si>
  <si>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</si>
  <si>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</si>
  <si>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</si>
  <si>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</si>
  <si>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</si>
  <si>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</si>
  <si>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</si>
  <si>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</si>
  <si>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</si>
  <si>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</si>
  <si>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</si>
  <si>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</si>
  <si>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</si>
  <si>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</si>
  <si>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</si>
  <si>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</si>
  <si>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</si>
  <si>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</si>
  <si>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</si>
  <si>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</si>
  <si>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</si>
  <si>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</si>
  <si>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</si>
  <si>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</si>
  <si>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</si>
  <si>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</si>
  <si>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</si>
  <si>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</si>
  <si>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</si>
  <si>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</si>
  <si>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</si>
  <si>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</si>
  <si>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</si>
  <si>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</si>
  <si>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</si>
  <si>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</si>
  <si>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</si>
  <si>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</si>
  <si>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</si>
  <si>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</si>
  <si>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</si>
  <si>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</si>
  <si>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</si>
  <si>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</si>
  <si>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</si>
  <si>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</si>
  <si>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</si>
  <si>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</si>
  <si>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</si>
  <si>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</si>
  <si>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</si>
  <si>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</si>
  <si>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</si>
  <si>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</si>
  <si>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</si>
  <si>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</si>
  <si>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</si>
  <si>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</si>
  <si>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</si>
  <si>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</si>
  <si>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</si>
  <si>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</si>
  <si>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</si>
  <si>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</si>
  <si>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</si>
  <si>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</si>
  <si>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</si>
  <si>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</si>
  <si>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</si>
  <si>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</si>
  <si>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</si>
  <si>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</si>
  <si>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</si>
  <si>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</si>
  <si>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</si>
  <si>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</si>
  <si>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</si>
  <si>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</si>
  <si>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</si>
  <si>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</si>
  <si>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</si>
  <si>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</si>
  <si>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</si>
  <si>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</si>
  <si>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</si>
  <si>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</si>
  <si>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</si>
  <si>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</si>
  <si>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</si>
  <si>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</si>
  <si>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</si>
  <si>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</si>
  <si>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</si>
  <si>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</si>
  <si>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</si>
  <si>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</si>
  <si>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</si>
  <si>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</si>
  <si>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</si>
  <si>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</si>
  <si>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</si>
  <si>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</si>
  <si>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</si>
  <si>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</si>
  <si>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</si>
  <si>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</si>
  <si>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</si>
  <si>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</si>
  <si>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</si>
  <si>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</si>
  <si>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</si>
  <si>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</si>
  <si>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</si>
  <si>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</si>
  <si>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</si>
  <si>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</si>
  <si>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</si>
  <si>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</si>
  <si>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</si>
  <si>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</si>
  <si>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</si>
  <si>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</si>
  <si>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</si>
  <si>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</si>
  <si>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</si>
  <si>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</si>
  <si>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</si>
  <si>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</si>
  <si>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</si>
  <si>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</si>
  <si>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</si>
  <si>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</si>
  <si>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</si>
  <si>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</si>
  <si>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</si>
  <si>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</si>
  <si>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</si>
  <si>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</si>
  <si>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</si>
  <si>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</si>
  <si>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</si>
  <si>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</si>
  <si>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</si>
  <si>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</si>
  <si>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</si>
  <si>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</si>
  <si>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</si>
  <si>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</si>
  <si>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</si>
  <si>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</si>
  <si>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</si>
  <si>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</si>
  <si>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</si>
  <si>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</si>
  <si>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</si>
  <si>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</si>
  <si>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</si>
  <si>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</si>
  <si>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</si>
  <si>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</si>
  <si>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</si>
  <si>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</si>
  <si>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</si>
  <si>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</si>
  <si>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</si>
  <si>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</si>
  <si>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</si>
  <si>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</si>
  <si>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</si>
  <si>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</si>
  <si>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</si>
  <si>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</si>
  <si>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</si>
  <si>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</si>
  <si>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</si>
  <si>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</si>
  <si>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</si>
  <si>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</si>
  <si>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</si>
  <si>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</si>
  <si>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</si>
  <si>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</si>
  <si>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</si>
  <si>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</si>
  <si>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</si>
  <si>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</si>
  <si>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</si>
  <si>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</si>
  <si>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</si>
  <si>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</si>
  <si>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</si>
  <si>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</si>
  <si>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</si>
  <si>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</si>
  <si>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</si>
  <si>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</si>
  <si>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</si>
  <si>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</si>
  <si>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</si>
  <si>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</si>
  <si>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</si>
  <si>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</si>
  <si>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</si>
  <si>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</si>
  <si>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</si>
  <si>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</si>
  <si>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</si>
  <si>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</si>
  <si>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</si>
  <si>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</si>
  <si>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</si>
  <si>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</si>
  <si>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</si>
  <si>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</si>
  <si>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</si>
  <si>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</si>
  <si>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</si>
  <si>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</si>
  <si>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</si>
  <si>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</si>
  <si>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</si>
  <si>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</si>
  <si>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</si>
  <si>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</si>
  <si>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</si>
  <si>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</si>
  <si>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</si>
  <si>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</si>
  <si>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</si>
  <si>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</si>
  <si>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</si>
  <si>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</si>
  <si>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</si>
  <si>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</si>
  <si>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</si>
  <si>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</si>
  <si>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</si>
  <si>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</si>
  <si>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</si>
  <si>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</si>
  <si>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</si>
  <si>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</si>
  <si>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</si>
  <si>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</si>
  <si>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</si>
  <si>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</si>
  <si>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</si>
  <si>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</si>
  <si>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</si>
  <si>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</si>
  <si>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</si>
  <si>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</si>
  <si>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</si>
  <si>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</si>
  <si>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</si>
  <si>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</si>
  <si>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</si>
  <si>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</si>
  <si>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</si>
  <si>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</si>
  <si>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</si>
  <si>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</si>
  <si>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</si>
  <si>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</si>
  <si>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</si>
  <si>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</si>
  <si>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</si>
  <si>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</si>
  <si>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</si>
  <si>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</si>
  <si>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</si>
  <si>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</si>
  <si>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</si>
  <si>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</si>
  <si>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</si>
  <si>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</si>
  <si>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</si>
  <si>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</si>
  <si>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</si>
  <si>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</si>
  <si>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</si>
  <si>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</si>
  <si>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</si>
  <si>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</si>
  <si>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</si>
  <si>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</si>
  <si>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</si>
  <si>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</si>
  <si>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</si>
  <si>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</si>
  <si>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</si>
  <si>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</si>
  <si>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</si>
  <si>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</si>
  <si>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</si>
  <si>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</si>
  <si>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</si>
  <si>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</si>
  <si>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</si>
  <si>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</si>
  <si>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</si>
  <si>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</si>
  <si>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</si>
  <si>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</si>
  <si>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</si>
  <si>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</si>
  <si>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</si>
  <si>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</si>
  <si>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</si>
  <si>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</si>
  <si>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</si>
  <si>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</si>
  <si>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</si>
  <si>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</si>
  <si>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</si>
  <si>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</si>
  <si>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</si>
  <si>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</si>
  <si>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</si>
  <si>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</si>
  <si>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</si>
  <si>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</si>
  <si>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</si>
  <si>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</si>
  <si>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</si>
  <si>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</si>
  <si>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</si>
  <si>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</si>
  <si>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</si>
  <si>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</si>
  <si>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</si>
  <si>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</si>
  <si>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</si>
  <si>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</si>
  <si>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</si>
  <si>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</si>
  <si>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</si>
  <si>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</si>
  <si>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</si>
  <si>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</si>
  <si>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</si>
  <si>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</si>
  <si>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</si>
  <si>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</si>
  <si>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</si>
  <si>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</si>
  <si>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</si>
  <si>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</si>
  <si>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</si>
  <si>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</si>
  <si>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</si>
  <si>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</si>
  <si>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</si>
  <si>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</si>
  <si>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</si>
  <si>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</si>
  <si>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</si>
  <si>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</si>
  <si>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</si>
  <si>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</si>
  <si>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</si>
  <si>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</si>
  <si>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</si>
  <si>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</si>
  <si>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</si>
  <si>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</si>
  <si>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</si>
  <si>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</si>
  <si>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</si>
  <si>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</si>
  <si>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</si>
  <si>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</si>
  <si>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</si>
  <si>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</si>
  <si>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</si>
  <si>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</si>
  <si>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</si>
  <si>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</si>
  <si>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</si>
  <si>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</si>
  <si>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</si>
  <si>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</si>
  <si>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</si>
  <si>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</si>
  <si>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</si>
  <si>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</si>
  <si>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</si>
  <si>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</si>
  <si>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</si>
  <si>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</si>
  <si>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</si>
  <si>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</si>
  <si>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</si>
  <si>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</si>
  <si>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</si>
  <si>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</si>
  <si>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</si>
  <si>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</si>
  <si>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</si>
  <si>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</si>
  <si>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</si>
  <si>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</si>
  <si>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</si>
  <si>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</si>
  <si>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</si>
  <si>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</si>
  <si>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</si>
  <si>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</si>
  <si>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</si>
  <si>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</si>
  <si>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</si>
  <si>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</si>
  <si>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</si>
  <si>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</si>
  <si>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</si>
  <si>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</si>
  <si>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</si>
  <si>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</si>
  <si>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</si>
  <si>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</si>
  <si>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</si>
  <si>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</si>
  <si>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</si>
  <si>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</si>
  <si>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</si>
  <si>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</si>
  <si>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</si>
  <si>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</si>
  <si>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</si>
  <si>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</si>
  <si>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</si>
  <si>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</si>
  <si>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</si>
  <si>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</si>
  <si>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</si>
  <si>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</si>
  <si>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</si>
  <si>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</si>
  <si>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</si>
  <si>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</si>
  <si>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</si>
  <si>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</si>
  <si>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</si>
  <si>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</si>
  <si>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</si>
  <si>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</si>
  <si>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</si>
  <si>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</si>
  <si>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</si>
  <si>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</si>
  <si>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</si>
  <si>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</si>
  <si>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</si>
  <si>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</si>
  <si>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</si>
  <si>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</si>
  <si>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</si>
  <si>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</si>
  <si>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</si>
  <si>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</si>
  <si>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</si>
  <si>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</si>
  <si>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</si>
  <si>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</si>
  <si>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</si>
  <si>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</si>
  <si>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</si>
  <si>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</si>
  <si>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</si>
  <si>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</si>
  <si>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</si>
  <si>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</si>
  <si>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</si>
  <si>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</si>
  <si>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</si>
  <si>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</si>
  <si>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</si>
  <si>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</si>
  <si>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</si>
  <si>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</si>
  <si>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</si>
  <si>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</si>
  <si>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</si>
  <si>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</si>
  <si>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</si>
  <si>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</si>
  <si>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</si>
  <si>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</si>
  <si>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</si>
  <si>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</si>
  <si>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</si>
  <si>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</si>
  <si>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</si>
  <si>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</si>
  <si>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</si>
  <si>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</si>
  <si>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</si>
  <si>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</si>
  <si>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</si>
  <si>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</si>
  <si>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</si>
  <si>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</si>
  <si>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</si>
  <si>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</si>
  <si>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</si>
  <si>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</si>
  <si>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</si>
  <si>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</si>
  <si>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</si>
  <si>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</si>
  <si>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</si>
  <si>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</si>
  <si>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</si>
  <si>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</si>
  <si>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</si>
  <si>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</si>
  <si>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</si>
  <si>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</si>
  <si>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</si>
  <si>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</si>
  <si>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</si>
  <si>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</si>
  <si>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</si>
  <si>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</si>
  <si>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</si>
  <si>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</si>
  <si>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</si>
  <si>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</si>
  <si>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</si>
  <si>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</si>
  <si>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</si>
  <si>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</si>
  <si>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</si>
  <si>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</si>
  <si>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</si>
  <si>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</si>
  <si>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</si>
  <si>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</si>
  <si>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</si>
  <si>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</si>
  <si>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</si>
  <si>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</si>
  <si>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</si>
  <si>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</si>
  <si>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</si>
  <si>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</si>
  <si>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</si>
  <si>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</si>
  <si>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</si>
  <si>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</si>
  <si>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</si>
  <si>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</si>
  <si>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</si>
  <si>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</si>
  <si>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</si>
  <si>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</si>
  <si>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</si>
  <si>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</si>
  <si>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</si>
  <si>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</si>
  <si>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</si>
  <si>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</si>
  <si>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</si>
  <si>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</si>
  <si>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</si>
  <si>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</si>
  <si>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</si>
  <si>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</si>
  <si>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</si>
  <si>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</si>
  <si>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</si>
  <si>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</si>
  <si>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</si>
  <si>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</si>
  <si>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</si>
  <si>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</si>
  <si>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</si>
  <si>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</si>
  <si>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</si>
  <si>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</si>
  <si>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</si>
  <si>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</si>
  <si>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</si>
  <si>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</si>
  <si>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</si>
  <si>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</si>
  <si>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</si>
  <si>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</si>
  <si>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</si>
  <si>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</si>
  <si>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</si>
  <si>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</si>
  <si>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</si>
  <si>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</si>
  <si>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</si>
  <si>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</si>
  <si>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</si>
  <si>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</si>
  <si>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</si>
  <si>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</si>
  <si>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</si>
  <si>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</si>
  <si>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</si>
  <si>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</si>
  <si>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</si>
  <si>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</si>
  <si>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</si>
  <si>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</si>
  <si>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</si>
  <si>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</si>
  <si>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</si>
  <si>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</si>
  <si>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</si>
  <si>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</si>
  <si>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</si>
  <si>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</si>
  <si>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</si>
  <si>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</si>
  <si>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</si>
  <si>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</si>
  <si>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</si>
  <si>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</si>
  <si>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</si>
  <si>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</si>
  <si>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</si>
  <si>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</si>
  <si>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</si>
  <si>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</si>
  <si>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</si>
  <si>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</si>
  <si>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</si>
  <si>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</si>
  <si>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</si>
  <si>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</si>
  <si>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</si>
  <si>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</si>
  <si>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</si>
  <si>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</si>
  <si>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</si>
  <si>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</si>
  <si>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</si>
  <si>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</si>
  <si>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</si>
  <si>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</si>
  <si>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</si>
  <si>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</si>
  <si>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</si>
  <si>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</si>
  <si>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</si>
  <si>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</si>
  <si>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</si>
  <si>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</si>
  <si>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</si>
  <si>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</si>
  <si>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</si>
  <si>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</si>
  <si>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</si>
  <si>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</si>
  <si>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</si>
  <si>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</si>
  <si>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</si>
  <si>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</si>
  <si>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</si>
  <si>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</si>
  <si>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</si>
  <si>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</si>
  <si>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</si>
  <si>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</si>
  <si>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</si>
  <si>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</si>
  <si>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</si>
  <si>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</si>
  <si>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</si>
  <si>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</si>
  <si>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</si>
  <si>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</si>
  <si>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</si>
  <si>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</si>
  <si>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</si>
  <si>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</si>
  <si>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</si>
  <si>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</si>
  <si>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</si>
  <si>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</si>
  <si>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</si>
  <si>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</si>
  <si>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</si>
  <si>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</si>
  <si>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</si>
  <si>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</si>
  <si>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</si>
  <si>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</si>
  <si>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</si>
  <si>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</si>
  <si>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</si>
  <si>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</si>
  <si>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</si>
  <si>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</si>
  <si>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</si>
  <si>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</si>
  <si>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</si>
  <si>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</si>
  <si>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</si>
  <si>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</si>
  <si>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</si>
  <si>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</si>
  <si>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</si>
  <si>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</si>
  <si>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</si>
  <si>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</si>
  <si>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</si>
  <si>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</si>
  <si>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</si>
  <si>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</si>
  <si>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</si>
  <si>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</si>
  <si>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</si>
  <si>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</si>
  <si>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</si>
  <si>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</si>
  <si>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</si>
  <si>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</si>
  <si>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</si>
  <si>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</si>
  <si>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</si>
  <si>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</si>
  <si>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</si>
  <si>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</si>
  <si>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</si>
  <si>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</si>
  <si>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</si>
  <si>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</si>
  <si>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</si>
  <si>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</si>
  <si>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</si>
  <si>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</si>
  <si>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</si>
  <si>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</si>
  <si>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</si>
  <si>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</si>
  <si>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</si>
  <si>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</si>
  <si>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</si>
  <si>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</si>
  <si>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</si>
  <si>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</si>
  <si>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</si>
  <si>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</si>
  <si>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</si>
  <si>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</si>
  <si>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</si>
  <si>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</si>
  <si>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</si>
  <si>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</si>
  <si>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</si>
  <si>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</si>
  <si>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</si>
  <si>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</si>
  <si>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</si>
  <si>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</si>
  <si>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</si>
  <si>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</si>
  <si>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</si>
  <si>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</si>
  <si>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</si>
  <si>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</si>
  <si>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</si>
  <si>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</si>
  <si>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</si>
  <si>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</si>
  <si>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</si>
  <si>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</si>
  <si>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</si>
  <si>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</si>
  <si>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</si>
  <si>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</si>
  <si>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</si>
  <si>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</si>
  <si>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</si>
  <si>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</si>
  <si>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</si>
  <si>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</si>
  <si>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</si>
  <si>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</si>
  <si>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</si>
  <si>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</si>
  <si>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</si>
  <si>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</si>
  <si>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</si>
  <si>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</si>
  <si>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</si>
  <si>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</si>
  <si>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</si>
  <si>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</si>
  <si>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</si>
  <si>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</si>
  <si>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</si>
  <si>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</si>
  <si>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</si>
  <si>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</si>
  <si>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</si>
  <si>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</si>
  <si>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</si>
  <si>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</si>
  <si>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</si>
  <si>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</si>
  <si>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</si>
  <si>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</si>
  <si>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</si>
  <si>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</si>
  <si>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</si>
  <si>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</si>
  <si>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</si>
  <si>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</si>
  <si>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</si>
  <si>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</si>
  <si>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</si>
  <si>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</si>
  <si>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</si>
  <si>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</si>
  <si>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</si>
  <si>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</si>
  <si>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</si>
  <si>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</si>
  <si>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</si>
  <si>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</si>
  <si>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</si>
  <si>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</si>
  <si>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</si>
  <si>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</si>
  <si>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</si>
  <si>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</si>
  <si>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</si>
  <si>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</si>
  <si>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</si>
  <si>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</si>
  <si>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</si>
  <si>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</si>
  <si>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</si>
  <si>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</si>
  <si>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</si>
  <si>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</si>
  <si>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</si>
  <si>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</si>
  <si>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</si>
  <si>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</si>
  <si>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</si>
  <si>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</si>
  <si>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</si>
  <si>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</si>
  <si>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</si>
  <si>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</si>
  <si>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</si>
  <si>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</si>
  <si>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</si>
  <si>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</si>
  <si>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</si>
  <si>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</si>
  <si>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</si>
  <si>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</si>
  <si>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</si>
  <si>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</si>
  <si>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</si>
  <si>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</si>
  <si>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</si>
  <si>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</si>
  <si>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</si>
  <si>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</si>
  <si>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</si>
  <si>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</si>
  <si>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</si>
  <si>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</si>
  <si>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</si>
  <si>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</si>
  <si>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</si>
  <si>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</si>
  <si>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</si>
  <si>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</si>
  <si>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</si>
  <si>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</si>
  <si>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</si>
  <si>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</si>
  <si>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</si>
  <si>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</si>
  <si>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</si>
  <si>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</si>
  <si>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</si>
  <si>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</si>
  <si>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</si>
  <si>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</si>
  <si>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</si>
  <si>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</si>
  <si>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</si>
  <si>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</si>
  <si>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</si>
  <si>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</si>
  <si>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</si>
  <si>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</si>
  <si>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</si>
  <si>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</si>
  <si>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</si>
  <si>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</si>
  <si>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</si>
  <si>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</si>
  <si>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</si>
  <si>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</si>
  <si>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</si>
  <si>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</si>
  <si>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</si>
  <si>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</si>
  <si>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</si>
  <si>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</si>
  <si>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</si>
  <si>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</si>
  <si>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</si>
  <si>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</si>
  <si>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</si>
  <si>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</si>
  <si>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</si>
  <si>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</si>
  <si>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</si>
  <si>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</si>
  <si>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</si>
  <si>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</si>
  <si>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</si>
  <si>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</si>
  <si>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</si>
  <si>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</si>
  <si>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</si>
  <si>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</si>
  <si>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</si>
  <si>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</si>
  <si>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</si>
  <si>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</si>
  <si>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</si>
  <si>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</si>
  <si>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</si>
  <si>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</si>
  <si>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</si>
  <si>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</si>
  <si>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</si>
  <si>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</si>
  <si>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</si>
  <si>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</si>
  <si>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</si>
  <si>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</si>
  <si>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</si>
  <si>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</si>
  <si>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</si>
  <si>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</si>
  <si>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</si>
  <si>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</si>
  <si>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</si>
  <si>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</si>
  <si>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</si>
  <si>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</si>
  <si>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</si>
  <si>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</si>
  <si>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</si>
  <si>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</si>
  <si>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</si>
  <si>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</si>
  <si>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</si>
  <si>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</si>
  <si>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</si>
  <si>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</si>
  <si>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</si>
  <si>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</si>
  <si>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</si>
  <si>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</si>
  <si>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</si>
  <si>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</si>
  <si>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</si>
  <si>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</si>
  <si>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</si>
  <si>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</si>
  <si>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</si>
  <si>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</si>
  <si>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</si>
  <si>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</si>
  <si>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</si>
  <si>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</si>
  <si>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</si>
  <si>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</si>
  <si>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</si>
  <si>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</si>
  <si>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</si>
  <si>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</si>
  <si>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</si>
  <si>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</si>
  <si>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</si>
  <si>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</si>
  <si>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</si>
  <si>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</si>
  <si>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</si>
  <si>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</si>
  <si>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</si>
  <si>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</si>
  <si>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</si>
  <si>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</si>
  <si>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</si>
  <si>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</si>
  <si>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</si>
  <si>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</si>
  <si>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</si>
  <si>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</si>
  <si>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</si>
  <si>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</si>
  <si>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</si>
  <si>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</si>
  <si>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</si>
  <si>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</si>
  <si>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</si>
  <si>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</si>
  <si>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</si>
  <si>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</si>
  <si>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</si>
  <si>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</si>
  <si>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</si>
  <si>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</si>
  <si>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</si>
  <si>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</si>
  <si>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</si>
  <si>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</si>
  <si>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</si>
  <si>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</si>
  <si>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</si>
  <si>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</si>
  <si>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</si>
  <si>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</si>
  <si>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</si>
  <si>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</si>
  <si>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</si>
  <si>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</si>
  <si>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</si>
  <si>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</si>
  <si>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</si>
  <si>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</si>
  <si>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</si>
  <si>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</si>
  <si>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</si>
  <si>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</si>
  <si>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</si>
  <si>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</si>
  <si>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</si>
  <si>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</si>
  <si>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</si>
  <si>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</si>
  <si>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</si>
  <si>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</si>
  <si>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</si>
  <si>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</si>
  <si>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</si>
  <si>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</si>
  <si>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</si>
  <si>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</si>
  <si>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</si>
  <si>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</si>
  <si>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</si>
  <si>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</si>
  <si>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</si>
  <si>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</si>
  <si>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</si>
  <si>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</si>
  <si>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</si>
  <si>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</si>
  <si>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</si>
  <si>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</si>
  <si>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</si>
  <si>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</si>
  <si>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</si>
  <si>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</si>
  <si>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</si>
  <si>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</si>
  <si>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</si>
  <si>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</si>
  <si>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</si>
  <si>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</si>
  <si>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</si>
  <si>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</si>
  <si>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</si>
  <si>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</si>
  <si>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</si>
  <si>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</si>
  <si>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</si>
  <si>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</si>
  <si>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</si>
  <si>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</si>
  <si>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</si>
  <si>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</si>
  <si>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</si>
  <si>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</si>
  <si>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</si>
  <si>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</si>
  <si>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</si>
  <si>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</si>
  <si>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</si>
  <si>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</si>
  <si>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</si>
  <si>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</si>
  <si>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</si>
  <si>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</si>
  <si>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</si>
  <si>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</si>
  <si>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</si>
  <si>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</si>
  <si>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</si>
  <si>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</si>
  <si>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</si>
  <si>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</si>
  <si>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</si>
  <si>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</si>
  <si>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</si>
  <si>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</si>
  <si>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</si>
  <si>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</si>
  <si>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</si>
  <si>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</si>
  <si>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</si>
  <si>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</si>
  <si>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</si>
  <si>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</si>
  <si>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</si>
  <si>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</si>
  <si>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</si>
  <si>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</si>
  <si>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</si>
  <si>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</si>
  <si>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</si>
  <si>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</si>
  <si>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</si>
  <si>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</si>
  <si>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</si>
  <si>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</si>
  <si>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</si>
  <si>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</si>
  <si>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</si>
  <si>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</si>
  <si>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</si>
  <si>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</si>
  <si>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</si>
  <si>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</si>
  <si>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</si>
  <si>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</si>
  <si>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</si>
  <si>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</si>
  <si>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</si>
  <si>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</si>
  <si>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</si>
  <si>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</si>
  <si>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</si>
  <si>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</si>
  <si>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</si>
  <si>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</si>
  <si>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</si>
  <si>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</si>
  <si>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</si>
  <si>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</si>
  <si>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</si>
  <si>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</si>
  <si>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</si>
  <si>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</si>
  <si>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</si>
  <si>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</si>
  <si>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</si>
  <si>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</si>
  <si>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</si>
  <si>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</si>
  <si>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</si>
  <si>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</si>
  <si>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</si>
  <si>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</si>
  <si>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</si>
  <si>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</si>
  <si>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</si>
  <si>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</si>
  <si>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</si>
  <si>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</si>
  <si>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</si>
  <si>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</si>
  <si>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</si>
  <si>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</si>
  <si>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</si>
  <si>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</si>
  <si>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</si>
  <si>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</si>
  <si>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</si>
  <si>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</si>
  <si>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</si>
  <si>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</si>
  <si>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</si>
  <si>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</si>
  <si>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</si>
  <si>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</si>
  <si>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</si>
  <si>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</si>
  <si>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</si>
  <si>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</si>
  <si>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</si>
  <si>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</si>
  <si>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</si>
  <si>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</si>
  <si>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</si>
  <si>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</si>
  <si>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</si>
  <si>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</si>
  <si>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</si>
  <si>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</si>
  <si>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</si>
  <si>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</si>
  <si>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</si>
  <si>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</si>
  <si>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</si>
  <si>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</si>
  <si>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</si>
  <si>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</si>
  <si>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</si>
  <si>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</si>
  <si>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</si>
  <si>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</si>
  <si>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</si>
  <si>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</si>
  <si>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</si>
  <si>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</si>
  <si>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</si>
  <si>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</si>
  <si>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</si>
  <si>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</si>
  <si>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</si>
  <si>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</si>
  <si>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</si>
  <si>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</si>
  <si>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</si>
  <si>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</si>
  <si>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</si>
  <si>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</si>
  <si>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</si>
  <si>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</si>
  <si>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</si>
  <si>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</si>
  <si>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</si>
  <si>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</si>
  <si>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</si>
  <si>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</si>
  <si>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</si>
  <si>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</si>
  <si>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</si>
  <si>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</si>
  <si>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</si>
  <si>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</si>
  <si>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</si>
  <si>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</si>
  <si>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</si>
  <si>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</si>
  <si>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</si>
  <si>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</si>
  <si>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</si>
  <si>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</si>
  <si>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</si>
  <si>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</si>
  <si>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</si>
  <si>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</si>
  <si>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</si>
  <si>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</si>
  <si>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</si>
  <si>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</si>
  <si>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</si>
  <si>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</si>
  <si>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</si>
  <si>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</si>
  <si>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</si>
  <si>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</si>
  <si>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</si>
  <si>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</si>
  <si>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</si>
  <si>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</si>
  <si>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</si>
  <si>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</si>
  <si>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</si>
  <si>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</si>
  <si>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</si>
  <si>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</si>
  <si>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</si>
  <si>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</si>
  <si>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</si>
  <si>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</si>
  <si>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</si>
  <si>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</si>
  <si>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</si>
  <si>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</si>
  <si>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</si>
  <si>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</si>
  <si>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</si>
  <si>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</si>
  <si>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</si>
  <si>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</si>
  <si>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</si>
  <si>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</si>
  <si>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</si>
  <si>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</si>
  <si>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</si>
  <si>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</si>
  <si>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</si>
  <si>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</si>
  <si>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</si>
  <si>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</si>
  <si>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</si>
  <si>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</si>
  <si>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</si>
  <si>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</si>
  <si>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</si>
  <si>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</si>
  <si>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</si>
  <si>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</si>
  <si>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</si>
  <si>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</si>
  <si>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</si>
  <si>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</si>
  <si>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</si>
  <si>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</si>
  <si>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</si>
  <si>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</si>
  <si>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</si>
  <si>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</si>
  <si>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</si>
  <si>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</si>
  <si>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</si>
  <si>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</si>
  <si>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</si>
  <si>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</si>
  <si>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</si>
  <si>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</si>
  <si>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</si>
  <si>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</si>
  <si>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</si>
  <si>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</si>
  <si>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</si>
  <si>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</si>
  <si>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</si>
  <si>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</si>
  <si>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</si>
  <si>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</si>
  <si>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</si>
  <si>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</si>
  <si>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</si>
  <si>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</si>
  <si>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</si>
  <si>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</si>
  <si>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</si>
  <si>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</si>
  <si>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</si>
  <si>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</si>
  <si>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</si>
  <si>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</si>
  <si>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</si>
  <si>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</si>
  <si>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</si>
  <si>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</si>
  <si>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</si>
  <si>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</si>
  <si>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</si>
  <si>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</si>
  <si>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</si>
  <si>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</si>
  <si>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</si>
  <si>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</si>
  <si>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</si>
  <si>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</si>
  <si>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</si>
  <si>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</si>
  <si>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</si>
  <si>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</si>
  <si>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</si>
  <si>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</si>
  <si>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</si>
  <si>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</si>
  <si>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</si>
  <si>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</si>
  <si>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</si>
  <si>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</si>
  <si>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</si>
  <si>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</si>
  <si>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</si>
  <si>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</si>
  <si>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</si>
  <si>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</si>
  <si>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</si>
  <si>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</si>
  <si>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</si>
  <si>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</si>
  <si>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</si>
  <si>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</si>
  <si>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</si>
  <si>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</si>
  <si>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</si>
  <si>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</si>
  <si>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</si>
  <si>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</si>
  <si>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</si>
  <si>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</si>
  <si>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</si>
  <si>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</si>
  <si>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</si>
  <si>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</si>
  <si>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</si>
  <si>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</si>
  <si>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</si>
  <si>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</si>
  <si>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</si>
  <si>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</si>
  <si>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</si>
  <si>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</si>
  <si>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</si>
  <si>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</si>
  <si>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</si>
  <si>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</si>
  <si>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</si>
  <si>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</si>
  <si>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</si>
  <si>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</si>
  <si>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</si>
  <si>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</si>
  <si>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</si>
  <si>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</si>
  <si>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</si>
  <si>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</si>
  <si>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</si>
  <si>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</si>
  <si>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</si>
  <si>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</si>
  <si>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</si>
  <si>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</si>
  <si>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</si>
  <si>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</si>
  <si>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</si>
  <si>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</si>
  <si>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</si>
  <si>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</si>
  <si>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</si>
  <si>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</si>
  <si>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</si>
  <si>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</si>
  <si>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</si>
  <si>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</si>
  <si>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</si>
  <si>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</si>
  <si>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</si>
  <si>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</si>
  <si>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</si>
  <si>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</si>
  <si>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</si>
  <si>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</si>
  <si>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</si>
  <si>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</si>
  <si>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</si>
  <si>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</si>
  <si>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</si>
  <si>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</si>
  <si>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</si>
  <si>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</si>
  <si>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</si>
  <si>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</si>
  <si>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</si>
  <si>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</si>
  <si>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</si>
  <si>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</si>
  <si>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</si>
  <si>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</si>
  <si>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</si>
  <si>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</si>
  <si>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</si>
  <si>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</si>
  <si>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</si>
  <si>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</si>
  <si>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</si>
  <si>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</si>
  <si>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</si>
  <si>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</si>
  <si>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</si>
  <si>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</si>
  <si>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</si>
  <si>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</si>
  <si>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</si>
  <si>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</si>
  <si>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</si>
  <si>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</si>
  <si>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</si>
  <si>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</si>
  <si>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</si>
  <si>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</si>
  <si>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</si>
  <si>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</si>
  <si>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</si>
  <si>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</si>
  <si>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</si>
  <si>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</si>
  <si>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</si>
  <si>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</si>
  <si>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</si>
  <si>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</si>
  <si>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</si>
  <si>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</si>
  <si>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</si>
  <si>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</si>
  <si>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</si>
  <si>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</si>
  <si>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</si>
  <si>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</si>
  <si>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</si>
  <si>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</si>
  <si>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</si>
  <si>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</si>
  <si>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</si>
  <si>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</si>
  <si>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</si>
  <si>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</si>
  <si>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</si>
  <si>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</si>
  <si>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</si>
  <si>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</si>
  <si>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</si>
  <si>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</si>
  <si>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</si>
  <si>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</si>
  <si>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</si>
  <si>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</si>
  <si>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</si>
  <si>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</si>
  <si>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</si>
  <si>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</si>
  <si>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</si>
  <si>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</si>
  <si>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</si>
  <si>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</si>
  <si>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</si>
  <si>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</si>
  <si>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</si>
  <si>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</si>
  <si>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</si>
  <si>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</si>
  <si>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</si>
  <si>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</si>
  <si>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</si>
  <si>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</si>
  <si>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</si>
  <si>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</si>
  <si>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</si>
  <si>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</si>
  <si>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</si>
  <si>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</si>
  <si>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</si>
  <si>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</si>
  <si>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</si>
  <si>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</si>
  <si>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</si>
  <si>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</si>
  <si>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</si>
  <si>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</si>
  <si>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</si>
  <si>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</si>
  <si>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</si>
  <si>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</si>
  <si>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</si>
  <si>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</si>
  <si>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</si>
  <si>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</si>
  <si>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</si>
  <si>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</si>
  <si>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</si>
  <si>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</si>
  <si>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</si>
  <si>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</si>
  <si>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</si>
  <si>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</si>
  <si>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</si>
  <si>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</si>
  <si>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</si>
  <si>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</si>
  <si>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</si>
  <si>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</si>
  <si>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</si>
  <si>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</si>
  <si>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</si>
  <si>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</si>
  <si>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</si>
  <si>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</si>
  <si>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</si>
  <si>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</si>
  <si>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</si>
  <si>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</si>
  <si>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</si>
  <si>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</si>
  <si>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</si>
  <si>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</si>
  <si>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</si>
  <si>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</si>
  <si>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</si>
  <si>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</si>
  <si>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</si>
  <si>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</si>
  <si>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</si>
  <si>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</si>
  <si>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</si>
  <si>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</si>
  <si>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</si>
  <si>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</si>
  <si>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</si>
  <si>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</si>
  <si>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</si>
  <si>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</si>
  <si>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</si>
  <si>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</si>
  <si>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</si>
  <si>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</si>
  <si>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</si>
  <si>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</si>
  <si>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</si>
  <si>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</si>
  <si>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</si>
  <si>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</si>
  <si>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</si>
  <si>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</si>
  <si>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</si>
  <si>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</si>
  <si>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</si>
  <si>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</si>
  <si>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</si>
  <si>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</si>
  <si>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</si>
  <si>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</si>
  <si>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</si>
  <si>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</si>
  <si>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</si>
  <si>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</si>
  <si>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</si>
  <si>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</si>
  <si>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</si>
  <si>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</si>
  <si>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</si>
  <si>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</si>
  <si>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</si>
  <si>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</si>
  <si>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</si>
  <si>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</si>
  <si>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</si>
  <si>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</si>
  <si>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</si>
  <si>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</si>
  <si>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</si>
  <si>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</si>
  <si>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</si>
  <si>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</si>
  <si>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</si>
  <si>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</si>
  <si>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</si>
  <si>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</si>
  <si>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</si>
  <si>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</si>
  <si>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</si>
  <si>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</si>
  <si>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</si>
  <si>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</si>
  <si>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</si>
  <si>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</si>
  <si>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</si>
  <si>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</si>
  <si>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</si>
  <si>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</si>
  <si>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</si>
  <si>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</si>
  <si>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</si>
  <si>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</si>
  <si>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</si>
  <si>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</si>
  <si>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</si>
  <si>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</si>
  <si>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</si>
  <si>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</si>
  <si>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</si>
  <si>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</si>
  <si>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</si>
  <si>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</si>
  <si>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</si>
  <si>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</si>
  <si>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</si>
  <si>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</si>
  <si>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</si>
  <si>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</si>
  <si>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</si>
  <si>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</si>
  <si>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</si>
  <si>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</si>
  <si>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</si>
  <si>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</si>
  <si>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</si>
  <si>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</si>
  <si>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</si>
  <si>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</si>
  <si>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</si>
  <si>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</si>
  <si>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</si>
  <si>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</si>
  <si>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</si>
  <si>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</si>
  <si>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</si>
  <si>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</si>
  <si>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</si>
  <si>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</si>
  <si>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</si>
  <si>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</si>
  <si>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</si>
  <si>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</si>
  <si>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</si>
  <si>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</si>
  <si>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</si>
  <si>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</si>
  <si>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</si>
  <si>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</si>
  <si>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</si>
  <si>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</si>
  <si>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</si>
  <si>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</si>
  <si>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</si>
  <si>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</si>
  <si>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</si>
  <si>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</si>
  <si>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</si>
  <si>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</si>
  <si>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</si>
  <si>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</si>
  <si>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</si>
  <si>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</si>
  <si>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</si>
  <si>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</si>
  <si>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</si>
  <si>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</si>
  <si>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</si>
  <si>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</si>
  <si>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</si>
  <si>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</si>
  <si>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</si>
  <si>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</si>
  <si>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</si>
  <si>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</si>
  <si>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</si>
  <si>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</si>
  <si>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</si>
  <si>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</si>
  <si>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</si>
  <si>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</si>
  <si>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</si>
  <si>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</si>
  <si>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</si>
  <si>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</si>
  <si>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</si>
  <si>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</si>
  <si>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</si>
  <si>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</si>
  <si>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</si>
  <si>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</si>
  <si>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</si>
  <si>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</si>
  <si>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</si>
  <si>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</si>
  <si>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</si>
  <si>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</si>
  <si>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</si>
  <si>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</si>
  <si>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</si>
  <si>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</si>
  <si>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</si>
  <si>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</si>
  <si>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</si>
  <si>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</si>
  <si>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</si>
  <si>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</si>
  <si>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</si>
  <si>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</si>
  <si>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</si>
  <si>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</si>
  <si>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</si>
  <si>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</si>
  <si>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</si>
  <si>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</si>
  <si>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</si>
  <si>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</si>
  <si>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</si>
  <si>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</si>
  <si>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</si>
  <si>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</si>
  <si>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</si>
  <si>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</si>
  <si>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</si>
  <si>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</si>
  <si>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</si>
  <si>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</si>
  <si>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</si>
  <si>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</si>
  <si>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</si>
  <si>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</si>
  <si>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</si>
  <si>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</si>
  <si>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</si>
  <si>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</si>
  <si>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</si>
  <si>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</si>
  <si>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</si>
  <si>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</si>
  <si>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</si>
  <si>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</si>
  <si>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</si>
  <si>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</si>
  <si>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</si>
  <si>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</si>
  <si>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</si>
  <si>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</si>
  <si>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</si>
  <si>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</si>
  <si>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</si>
  <si>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</si>
  <si>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</si>
  <si>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</si>
  <si>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</si>
  <si>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</si>
  <si>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</si>
  <si>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</si>
  <si>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</si>
  <si>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</si>
  <si>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</si>
  <si>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</si>
  <si>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</si>
  <si>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</si>
  <si>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</si>
  <si>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</si>
  <si>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</si>
  <si>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</si>
  <si>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</si>
  <si>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</si>
  <si>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</si>
  <si>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</si>
  <si>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</si>
  <si>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</si>
  <si>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</si>
  <si>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</si>
  <si>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</si>
  <si>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</si>
  <si>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</si>
  <si>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</si>
  <si>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</si>
  <si>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</si>
  <si>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</si>
  <si>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</si>
  <si>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</si>
  <si>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</si>
  <si>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</si>
  <si>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</si>
  <si>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</si>
  <si>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</si>
  <si>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</si>
  <si>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</si>
  <si>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</si>
  <si>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</si>
  <si>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</si>
  <si>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</si>
  <si>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</si>
  <si>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</si>
  <si>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</si>
  <si>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</si>
  <si>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</si>
  <si>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</si>
  <si>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</si>
  <si>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</si>
  <si>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</si>
  <si>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</si>
  <si>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</si>
  <si>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</si>
  <si>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</si>
  <si>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</si>
  <si>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</si>
  <si>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</si>
  <si>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</si>
  <si>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</si>
  <si>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</si>
  <si>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</si>
  <si>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</si>
  <si>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</si>
  <si>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</si>
  <si>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</si>
  <si>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</si>
  <si>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</si>
  <si>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</si>
  <si>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</si>
  <si>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</si>
  <si>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</si>
  <si>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</si>
  <si>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</si>
  <si>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</si>
  <si>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</si>
  <si>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</si>
  <si>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</si>
  <si>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</si>
  <si>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</si>
  <si>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</si>
  <si>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</si>
  <si>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</si>
  <si>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</si>
  <si>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</si>
  <si>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</si>
  <si>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</si>
  <si>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</si>
  <si>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</si>
  <si>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</si>
  <si>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</si>
  <si>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</si>
  <si>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</si>
  <si>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</si>
  <si>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</si>
  <si>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</si>
  <si>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</si>
  <si>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</si>
  <si>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</si>
  <si>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</si>
  <si>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</si>
  <si>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</si>
  <si>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</si>
  <si>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</si>
  <si>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</si>
  <si>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</si>
  <si>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</si>
  <si>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</si>
  <si>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</si>
  <si>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</si>
  <si>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</si>
  <si>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</si>
  <si>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</si>
  <si>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</si>
  <si>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</si>
  <si>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</si>
  <si>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</si>
  <si>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</si>
  <si>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</si>
  <si>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</si>
  <si>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</si>
  <si>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</si>
  <si>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</si>
  <si>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</si>
  <si>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</si>
  <si>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</si>
  <si>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</si>
  <si>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</si>
  <si>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</si>
  <si>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</si>
  <si>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</si>
  <si>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</si>
  <si>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</si>
  <si>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</si>
  <si>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</si>
  <si>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</si>
  <si>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</si>
  <si>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</si>
  <si>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</si>
  <si>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</si>
  <si>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</si>
  <si>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</si>
  <si>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</si>
  <si>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</si>
  <si>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</si>
  <si>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</si>
  <si>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</si>
  <si>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</si>
  <si>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</si>
  <si>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</si>
  <si>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</si>
  <si>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</si>
  <si>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</si>
  <si>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</si>
  <si>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</si>
  <si>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</si>
  <si>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</si>
  <si>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</si>
  <si>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</si>
  <si>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</si>
  <si>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</si>
  <si>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</si>
  <si>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</si>
  <si>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</si>
  <si>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</si>
  <si>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</si>
  <si>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</si>
  <si>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</si>
  <si>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</si>
  <si>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</si>
  <si>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</si>
  <si>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</si>
  <si>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</si>
  <si>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</si>
  <si>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</si>
  <si>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</si>
  <si>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</si>
  <si>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</si>
  <si>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</si>
  <si>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</si>
  <si>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</si>
  <si>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</si>
  <si>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</si>
  <si>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</si>
  <si>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</si>
  <si>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</si>
  <si>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</si>
  <si>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</si>
  <si>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</si>
  <si>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</si>
  <si>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</si>
  <si>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</si>
  <si>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</si>
  <si>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</si>
  <si>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</si>
  <si>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</si>
  <si>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</si>
  <si>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</si>
  <si>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</si>
  <si>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</si>
  <si>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</si>
  <si>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</si>
  <si>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</si>
  <si>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</si>
  <si>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</si>
  <si>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</si>
  <si>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</si>
  <si>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</si>
  <si>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</si>
  <si>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</si>
  <si>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</si>
  <si>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</si>
  <si>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</si>
  <si>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</si>
  <si>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</si>
  <si>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</si>
  <si>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</si>
  <si>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</si>
  <si>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</si>
  <si>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</si>
  <si>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</si>
  <si>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</si>
  <si>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</si>
  <si>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</si>
  <si>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</si>
  <si>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</si>
  <si>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</si>
  <si>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</si>
  <si>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</si>
  <si>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</si>
  <si>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</si>
  <si>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</si>
  <si>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</si>
  <si>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</si>
  <si>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</si>
  <si>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</si>
  <si>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</si>
  <si>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</si>
  <si>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</si>
  <si>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</si>
  <si>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</si>
  <si>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</si>
  <si>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</si>
  <si>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</si>
  <si>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</si>
  <si>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</si>
  <si>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</si>
  <si>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</si>
  <si>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</si>
  <si>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</si>
  <si>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</si>
  <si>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</si>
  <si>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</si>
  <si>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</si>
  <si>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</si>
  <si>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</si>
  <si>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</si>
  <si>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</si>
  <si>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</si>
  <si>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</si>
  <si>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</si>
  <si>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</si>
  <si>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</si>
  <si>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</si>
  <si>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</si>
  <si>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</si>
  <si>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</si>
  <si>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</si>
  <si>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</si>
  <si>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</si>
  <si>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</si>
  <si>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</si>
  <si>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</si>
  <si>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</si>
  <si>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</si>
  <si>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</si>
  <si>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</si>
  <si>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</si>
  <si>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</si>
  <si>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</si>
  <si>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</si>
  <si>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</si>
  <si>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</si>
  <si>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</si>
  <si>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</si>
  <si>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</si>
  <si>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</si>
  <si>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</si>
  <si>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</si>
  <si>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</si>
  <si>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</si>
  <si>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</si>
  <si>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</si>
  <si>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</si>
  <si>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</si>
  <si>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</si>
  <si>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</si>
  <si>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</si>
  <si>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</si>
  <si>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</si>
  <si>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</si>
  <si>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</si>
  <si>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</si>
  <si>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</si>
  <si>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</si>
  <si>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</si>
  <si>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</si>
  <si>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</si>
  <si>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</si>
  <si>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</si>
  <si>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</si>
  <si>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</si>
  <si>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</si>
  <si>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</si>
  <si>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</si>
  <si>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</si>
  <si>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</si>
  <si>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</si>
  <si>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</si>
  <si>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</si>
  <si>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</si>
  <si>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</si>
  <si>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</si>
  <si>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</si>
  <si>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</si>
  <si>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</si>
  <si>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</si>
  <si>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</si>
  <si>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</si>
  <si>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</si>
  <si>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</si>
  <si>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</si>
  <si>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</si>
  <si>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</si>
  <si>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</si>
  <si>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</si>
  <si>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</si>
  <si>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</si>
  <si>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</si>
  <si>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</si>
  <si>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</si>
  <si>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</si>
  <si>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</si>
  <si>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</si>
  <si>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</si>
  <si>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</si>
  <si>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</si>
  <si>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</si>
  <si>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</si>
  <si>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</si>
  <si>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</si>
  <si>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</si>
  <si>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</si>
  <si>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</si>
  <si>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</si>
  <si>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</si>
  <si>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</si>
  <si>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</si>
  <si>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</si>
  <si>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</si>
  <si>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</si>
  <si>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</si>
  <si>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</si>
  <si>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</si>
  <si>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</si>
  <si>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</si>
  <si>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</si>
  <si>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</si>
  <si>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</si>
  <si>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</si>
  <si>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</si>
  <si>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</si>
  <si>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</si>
  <si>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</si>
  <si>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</si>
  <si>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</si>
  <si>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</si>
  <si>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</si>
  <si>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</si>
  <si>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</si>
  <si>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</si>
  <si>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</si>
  <si>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</si>
  <si>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</si>
  <si>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</si>
  <si>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</si>
  <si>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</si>
  <si>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</si>
  <si>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</si>
  <si>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</si>
  <si>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</si>
  <si>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</si>
  <si>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</si>
  <si>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</si>
  <si>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</si>
  <si>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</si>
  <si>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</si>
  <si>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</si>
  <si>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</si>
  <si>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</si>
  <si>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</si>
  <si>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</si>
  <si>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</si>
  <si>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</si>
  <si>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</si>
  <si>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</si>
  <si>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</si>
  <si>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</si>
  <si>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</si>
  <si>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</si>
  <si>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</si>
  <si>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</si>
  <si>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</si>
  <si>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</si>
  <si>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</si>
  <si>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</si>
  <si>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</si>
  <si>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</si>
  <si>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</si>
  <si>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</si>
  <si>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</si>
  <si>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</si>
  <si>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</si>
  <si>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</si>
  <si>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</si>
  <si>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</si>
  <si>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</si>
  <si>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</si>
  <si>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</si>
  <si>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</si>
  <si>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</si>
  <si>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</si>
  <si>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</si>
  <si>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</si>
  <si>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</si>
  <si>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</si>
  <si>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</si>
  <si>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</si>
  <si>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</si>
  <si>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</si>
  <si>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</si>
  <si>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</si>
  <si>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</si>
  <si>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</si>
  <si>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</si>
  <si>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</si>
  <si>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</si>
  <si>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</si>
  <si>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</si>
  <si>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</si>
  <si>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</si>
  <si>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</si>
  <si>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</si>
  <si>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</si>
  <si>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</si>
  <si>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</si>
  <si>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</si>
  <si>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</si>
  <si>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</si>
  <si>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</si>
  <si>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</si>
  <si>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</si>
  <si>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</si>
  <si>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</si>
  <si>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</si>
  <si>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</si>
  <si>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</si>
  <si>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</si>
  <si>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</si>
  <si>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</si>
  <si>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</si>
  <si>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</si>
  <si>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</si>
  <si>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</si>
  <si>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</si>
  <si>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</si>
  <si>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</si>
  <si>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</si>
  <si>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</si>
  <si>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</si>
  <si>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Ideal-Tridon Group</t>
  </si>
  <si>
    <t>Conflict Minerals Reporting Template (CMRT) for Ideal-Tridon Group</t>
  </si>
  <si>
    <t>053795241</t>
  </si>
  <si>
    <t>DUNS</t>
  </si>
  <si>
    <t>Barry Nixon</t>
  </si>
  <si>
    <t>bnixon@idealtridon.com</t>
  </si>
  <si>
    <t>615-355-1194</t>
  </si>
  <si>
    <t>Senior Project Engineer</t>
  </si>
  <si>
    <t>615-355-1100 x1194</t>
  </si>
  <si>
    <t>Tin plating improves screw corrosion resistance and product performance</t>
  </si>
  <si>
    <t>how known - supplier feedback and material certifications</t>
  </si>
  <si>
    <t>see smelter sheet</t>
  </si>
  <si>
    <t>http://idealtridon.com/certifications-and-quality/</t>
  </si>
  <si>
    <t>UNKNOWN</t>
  </si>
  <si>
    <t>EP</t>
  </si>
  <si>
    <t>Ideal-Tridon Supplier Manual</t>
  </si>
  <si>
    <t>8100 Tridon Dr, Smyrna TN 37167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</si>
</sst>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48" xfId="0" applyBorder="1" applyAlignment="1" applyProtection="1">
      <alignment horizontal="left" vertical="center"/>
      <protection locked="0" hidden="1"/>
    </xf>
    <xf numFmtId="0" fontId="0" fillId="0" borderId="19" xfId="0" applyBorder="1" applyProtection="1">
      <protection locked="0"/>
    </xf>
    <xf numFmtId="0" fontId="0" fillId="0" borderId="57" xfId="0" applyBorder="1" applyAlignment="1" applyProtection="1">
      <alignmen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
      <c r="A4" s="368"/>
      <c r="B4" s="38" t="s">
        <v>849</v>
      </c>
      <c r="C4" s="7"/>
      <c r="D4" s="201"/>
      <c r="E4" s="3"/>
      <c r="F4" s="7"/>
      <c r="G4" s="31"/>
    </row>
    <row r="5" spans="1:7" ht="13.2">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20.399999999999999">
      <c r="A13" s="368"/>
      <c r="B13" s="2">
        <v>1</v>
      </c>
      <c r="C13" s="34" t="s">
        <v>1088</v>
      </c>
      <c r="D13" s="36" t="s">
        <v>876</v>
      </c>
      <c r="E13" s="187" t="s">
        <v>853</v>
      </c>
      <c r="F13" s="187"/>
      <c r="G13" s="31"/>
    </row>
    <row r="14" spans="1:7" ht="30.6">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80">
        <v>3</v>
      </c>
      <c r="C26" s="374" t="s">
        <v>70</v>
      </c>
      <c r="D26" s="377" t="s">
        <v>2267</v>
      </c>
      <c r="E26" s="365" t="s">
        <v>0</v>
      </c>
      <c r="F26" s="188" t="s">
        <v>64</v>
      </c>
      <c r="G26" s="31"/>
    </row>
    <row r="27" spans="1:7" ht="90" customHeight="1">
      <c r="A27" s="368"/>
      <c r="B27" s="381"/>
      <c r="C27" s="375"/>
      <c r="D27" s="378"/>
      <c r="E27" s="366"/>
      <c r="F27" s="189" t="s">
        <v>59</v>
      </c>
      <c r="G27" s="31"/>
    </row>
    <row r="28" spans="1:7" ht="19.350000000000001" customHeight="1">
      <c r="A28" s="368"/>
      <c r="B28" s="381"/>
      <c r="C28" s="375"/>
      <c r="D28" s="378"/>
      <c r="E28" s="366"/>
      <c r="F28" s="189" t="s">
        <v>60</v>
      </c>
      <c r="G28" s="31"/>
    </row>
    <row r="29" spans="1:7" ht="74.55" customHeight="1">
      <c r="A29" s="368"/>
      <c r="B29" s="381"/>
      <c r="C29" s="375"/>
      <c r="D29" s="378"/>
      <c r="E29" s="366"/>
      <c r="F29" s="189" t="s">
        <v>61</v>
      </c>
      <c r="G29" s="31"/>
    </row>
    <row r="30" spans="1:7" ht="62.55" customHeight="1">
      <c r="A30" s="368"/>
      <c r="B30" s="381"/>
      <c r="C30" s="375"/>
      <c r="D30" s="378"/>
      <c r="E30" s="366"/>
      <c r="F30" s="189" t="s">
        <v>62</v>
      </c>
      <c r="G30" s="31"/>
    </row>
    <row r="31" spans="1:7" ht="81" customHeight="1">
      <c r="A31" s="368"/>
      <c r="B31" s="381"/>
      <c r="C31" s="375"/>
      <c r="D31" s="378"/>
      <c r="E31" s="366"/>
      <c r="F31" s="189" t="s">
        <v>63</v>
      </c>
      <c r="G31" s="31"/>
    </row>
    <row r="32" spans="1:7" ht="48.75" customHeight="1">
      <c r="A32" s="368"/>
      <c r="B32" s="381"/>
      <c r="C32" s="375"/>
      <c r="D32" s="378"/>
      <c r="E32" s="366"/>
      <c r="F32" s="189" t="s">
        <v>66</v>
      </c>
      <c r="G32" s="31"/>
    </row>
    <row r="33" spans="1:7" ht="98.55" customHeight="1">
      <c r="A33" s="368"/>
      <c r="B33" s="381"/>
      <c r="C33" s="375"/>
      <c r="D33" s="378"/>
      <c r="E33" s="366"/>
      <c r="F33" s="189" t="s">
        <v>65</v>
      </c>
      <c r="G33" s="31"/>
    </row>
    <row r="34" spans="1:7" ht="89.1" customHeight="1">
      <c r="A34" s="368"/>
      <c r="B34" s="381"/>
      <c r="C34" s="375"/>
      <c r="D34" s="378"/>
      <c r="E34" s="366"/>
      <c r="F34" s="189" t="s">
        <v>67</v>
      </c>
      <c r="G34" s="31"/>
    </row>
    <row r="35" spans="1:7" ht="29.1" customHeight="1">
      <c r="A35" s="368"/>
      <c r="B35" s="381"/>
      <c r="C35" s="375"/>
      <c r="D35" s="378"/>
      <c r="E35" s="366"/>
      <c r="F35" s="189" t="s">
        <v>68</v>
      </c>
      <c r="G35" s="31"/>
    </row>
    <row r="36" spans="1:7" ht="112.2">
      <c r="A36" s="368"/>
      <c r="B36" s="382"/>
      <c r="C36" s="376"/>
      <c r="D36" s="379"/>
      <c r="E36" s="367"/>
      <c r="F36" s="190" t="s">
        <v>69</v>
      </c>
      <c r="G36" s="31"/>
    </row>
    <row r="37" spans="1:7" ht="102">
      <c r="A37" s="368"/>
      <c r="B37" s="163">
        <v>3.01</v>
      </c>
      <c r="C37" s="164" t="s">
        <v>70</v>
      </c>
      <c r="D37" s="36" t="s">
        <v>2268</v>
      </c>
      <c r="E37" s="191" t="s">
        <v>1328</v>
      </c>
      <c r="F37" s="192" t="s">
        <v>1434</v>
      </c>
      <c r="G37" s="31"/>
    </row>
    <row r="38" spans="1:7" ht="81.599999999999994">
      <c r="A38" s="368"/>
      <c r="B38" s="163">
        <v>3.02</v>
      </c>
      <c r="C38" s="164" t="s">
        <v>1361</v>
      </c>
      <c r="D38" s="36" t="s">
        <v>2269</v>
      </c>
      <c r="E38" s="191" t="s">
        <v>1376</v>
      </c>
      <c r="F38" s="192" t="s">
        <v>1435</v>
      </c>
      <c r="G38" s="31"/>
    </row>
    <row r="39" spans="1:7" ht="81.599999999999994">
      <c r="A39" s="368"/>
      <c r="B39" s="173">
        <v>4</v>
      </c>
      <c r="C39" s="172" t="s">
        <v>1531</v>
      </c>
      <c r="D39" s="36" t="s">
        <v>2270</v>
      </c>
      <c r="E39" s="34" t="s">
        <v>2213</v>
      </c>
      <c r="F39" s="34" t="s">
        <v>1532</v>
      </c>
      <c r="G39" s="31"/>
    </row>
    <row r="40" spans="1:7" ht="40.799999999999997">
      <c r="A40" s="368"/>
      <c r="B40" s="163">
        <v>4.01</v>
      </c>
      <c r="C40" s="172" t="s">
        <v>1531</v>
      </c>
      <c r="D40" s="36" t="s">
        <v>2272</v>
      </c>
      <c r="E40" s="34" t="s">
        <v>2227</v>
      </c>
      <c r="F40" s="34" t="s">
        <v>2231</v>
      </c>
      <c r="G40" s="31"/>
    </row>
    <row r="41" spans="1:7" ht="40.799999999999997">
      <c r="A41" s="368"/>
      <c r="B41" s="163" t="s">
        <v>2259</v>
      </c>
      <c r="C41" s="172" t="s">
        <v>1531</v>
      </c>
      <c r="D41" s="36" t="s">
        <v>2271</v>
      </c>
      <c r="E41" s="34" t="s">
        <v>2262</v>
      </c>
      <c r="F41" s="34" t="s">
        <v>2260</v>
      </c>
      <c r="G41" s="31"/>
    </row>
    <row r="42" spans="1:7" ht="40.799999999999997">
      <c r="A42" s="368"/>
      <c r="B42" s="163" t="s">
        <v>2295</v>
      </c>
      <c r="C42" s="172" t="s">
        <v>1531</v>
      </c>
      <c r="D42" s="36" t="s">
        <v>2302</v>
      </c>
      <c r="E42" s="34" t="s">
        <v>2261</v>
      </c>
      <c r="F42" s="34" t="s">
        <v>2296</v>
      </c>
      <c r="G42" s="31"/>
    </row>
    <row r="43" spans="1:7" ht="112.2">
      <c r="A43" s="368"/>
      <c r="B43" s="184">
        <v>4.0999999999999996</v>
      </c>
      <c r="C43" s="172" t="s">
        <v>2301</v>
      </c>
      <c r="D43" s="185">
        <v>42867</v>
      </c>
      <c r="E43" s="193" t="s">
        <v>2304</v>
      </c>
      <c r="F43" s="34" t="s">
        <v>2303</v>
      </c>
      <c r="G43" s="31"/>
    </row>
    <row r="44" spans="1:7" ht="71.400000000000006">
      <c r="A44" s="368"/>
      <c r="B44" s="184">
        <v>4.2</v>
      </c>
      <c r="C44" s="172" t="s">
        <v>2301</v>
      </c>
      <c r="D44" s="185">
        <v>42704</v>
      </c>
      <c r="E44" s="193" t="s">
        <v>2503</v>
      </c>
      <c r="F44" s="34" t="s">
        <v>2478</v>
      </c>
      <c r="G44" s="31"/>
    </row>
    <row r="45" spans="1:7" ht="132.6">
      <c r="A45" s="368"/>
      <c r="B45" s="233">
        <v>5</v>
      </c>
      <c r="C45" s="172" t="s">
        <v>2301</v>
      </c>
      <c r="D45" s="185">
        <v>42867</v>
      </c>
      <c r="E45" s="193" t="s">
        <v>12784</v>
      </c>
      <c r="F45" s="34" t="s">
        <v>12506</v>
      </c>
      <c r="G45" s="31"/>
    </row>
    <row r="46" spans="1:7" ht="30.6">
      <c r="A46" s="368"/>
      <c r="B46" s="184">
        <v>5.01</v>
      </c>
      <c r="C46" s="172" t="s">
        <v>2301</v>
      </c>
      <c r="D46" s="185">
        <v>42907</v>
      </c>
      <c r="E46" s="193" t="s">
        <v>15650</v>
      </c>
      <c r="F46" s="34" t="s">
        <v>12506</v>
      </c>
      <c r="G46" s="31"/>
    </row>
    <row r="47" spans="1:7" ht="61.2">
      <c r="A47" s="368"/>
      <c r="B47" s="184">
        <v>5.0999999999999996</v>
      </c>
      <c r="C47" s="172" t="s">
        <v>2301</v>
      </c>
      <c r="D47" s="185">
        <v>43070</v>
      </c>
      <c r="E47" s="193" t="s">
        <v>12994</v>
      </c>
      <c r="F47" s="34" t="s">
        <v>12995</v>
      </c>
      <c r="G47" s="31"/>
    </row>
    <row r="48" spans="1:7" ht="51">
      <c r="A48" s="368"/>
      <c r="B48" s="184">
        <v>5.1100000000000003</v>
      </c>
      <c r="C48" s="172" t="s">
        <v>13232</v>
      </c>
      <c r="D48" s="185">
        <v>43217</v>
      </c>
      <c r="E48" s="193" t="s">
        <v>13358</v>
      </c>
      <c r="F48" s="34" t="s">
        <v>13266</v>
      </c>
      <c r="G48" s="31"/>
    </row>
    <row r="49" spans="1:7" ht="51">
      <c r="A49" s="368"/>
      <c r="B49" s="184">
        <v>5.12</v>
      </c>
      <c r="C49" s="172" t="s">
        <v>13232</v>
      </c>
      <c r="D49" s="185">
        <v>43581</v>
      </c>
      <c r="E49" s="193" t="s">
        <v>13358</v>
      </c>
      <c r="F49" s="34" t="s">
        <v>13920</v>
      </c>
      <c r="G49" s="31"/>
    </row>
    <row r="50" spans="1:7" ht="71.400000000000006">
      <c r="A50" s="368"/>
      <c r="B50" s="233">
        <v>6</v>
      </c>
      <c r="C50" s="172" t="s">
        <v>13232</v>
      </c>
      <c r="D50" s="185">
        <v>43964</v>
      </c>
      <c r="E50" s="193" t="s">
        <v>14138</v>
      </c>
      <c r="F50" s="34" t="s">
        <v>13925</v>
      </c>
      <c r="G50" s="31"/>
    </row>
    <row r="51" spans="1:7" ht="40.799999999999997">
      <c r="A51" s="368"/>
      <c r="B51" s="184">
        <v>6.01</v>
      </c>
      <c r="C51" s="172" t="s">
        <v>13232</v>
      </c>
      <c r="D51" s="185">
        <v>43970</v>
      </c>
      <c r="E51" s="193" t="s">
        <v>15651</v>
      </c>
      <c r="F51" s="193" t="s">
        <v>13925</v>
      </c>
      <c r="G51" s="31"/>
    </row>
    <row r="52" spans="1:7" ht="40.799999999999997">
      <c r="A52" s="368"/>
      <c r="B52" s="184">
        <v>6.1</v>
      </c>
      <c r="C52" s="172" t="s">
        <v>13232</v>
      </c>
      <c r="D52" s="185">
        <v>44314</v>
      </c>
      <c r="E52" s="193" t="s">
        <v>15631</v>
      </c>
      <c r="F52" s="193" t="s">
        <v>15144</v>
      </c>
      <c r="G52" s="31"/>
    </row>
    <row r="53" spans="1:7" ht="40.799999999999997">
      <c r="A53" s="368"/>
      <c r="B53" s="184">
        <v>6.2</v>
      </c>
      <c r="C53" s="172" t="s">
        <v>13232</v>
      </c>
      <c r="D53" s="185">
        <v>44678</v>
      </c>
      <c r="E53" s="193" t="s">
        <v>15631</v>
      </c>
      <c r="F53" s="193" t="s">
        <v>15624</v>
      </c>
      <c r="G53" s="31"/>
    </row>
    <row r="54" spans="1:7" ht="40.799999999999997">
      <c r="A54" s="368"/>
      <c r="B54" s="184">
        <v>6.21</v>
      </c>
      <c r="C54" s="172" t="s">
        <v>13232</v>
      </c>
      <c r="D54" s="185">
        <v>44687</v>
      </c>
      <c r="E54" s="193" t="s">
        <v>15652</v>
      </c>
      <c r="F54" s="193" t="s">
        <v>15624</v>
      </c>
      <c r="G54" s="31"/>
    </row>
    <row r="55" spans="1:7" ht="40.799999999999997">
      <c r="A55" s="368"/>
      <c r="B55" s="184">
        <v>6.22</v>
      </c>
      <c r="C55" s="172" t="s">
        <v>13232</v>
      </c>
      <c r="D55" s="348">
        <v>44692</v>
      </c>
      <c r="E55" s="193" t="s">
        <v>15651</v>
      </c>
      <c r="F55" s="193" t="s">
        <v>15624</v>
      </c>
      <c r="G55" s="31"/>
    </row>
    <row r="56" spans="1:7" ht="13.2" thickBot="1">
      <c r="A56" s="369"/>
      <c r="B56" s="370" t="str">
        <f ca="1">OFFSET(L!$C$1,MATCH("General"&amp;"Cpy",L!$A:$A,0)-1,SL,,)</f>
        <v>© 2022 Responsible Minerals Initiative. All rights reserved.</v>
      </c>
      <c r="C56" s="370"/>
      <c r="D56" s="370"/>
      <c r="E56" s="370"/>
      <c r="F56" s="370"/>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9668C5-90A4-475E-9CFE-DC5853F171E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954F965-B232-4D47-BD1B-8965C3167A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05"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8.6">
      <c r="A10" s="84"/>
      <c r="B10" s="71" t="str">
        <f ca="1">OFFSET(L!$C$1,MATCH("Definitions"&amp;ADDRESS(ROW(),COLUMN(),4),L!$A:$A,0)-1,SL,,)</f>
        <v>DRC</v>
      </c>
      <c r="C10" s="71" t="str">
        <f ca="1">OFFSET(L!$C$1,MATCH("Definitions"&amp;ADDRESS(ROW(),COLUMN(),4),L!$A:$A,0)-1,SL,,)</f>
        <v>Democratic Republic of Congo</v>
      </c>
      <c r="D10" s="387"/>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7"/>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6.2">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6.2">
      <c r="A32" s="84"/>
      <c r="B32" s="386" t="str">
        <f ca="1">OFFSET(L!$C$1,MATCH("General"&amp;"Cpy",L!$A:$A,0)-1,SL,,)</f>
        <v>© 2022 Responsible Minerals Initiative. All rights reserved.</v>
      </c>
      <c r="C32" s="386"/>
      <c r="D32" s="387"/>
      <c r="E32" s="122"/>
    </row>
    <row r="33" spans="1:4" ht="13.2" thickBot="1">
      <c r="A33" s="85"/>
      <c r="B33" s="176"/>
      <c r="C33" s="176"/>
      <c r="D33" s="388"/>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17" sqref="D17:J1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6.2">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41" t="str">
        <f ca="1">OFFSET(L!$C$1,MATCH("Declaration"&amp;ADDRESS(ROW(),COLUMN(),4),L!$A:$A,0)-1,SL,,)</f>
        <v>Company Information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42" t="str">
        <f ca="1">OFFSET(L!$C$1,MATCH("Declaration"&amp;ADDRESS(ROW(),COLUMN(),4)&amp;LEFT($D$9,1),L!$A:$A,0)-1,SL,,)</f>
        <v>Description of Scope:</v>
      </c>
      <c r="C10" s="144"/>
      <c r="D10" s="433" t="s">
        <v>15656</v>
      </c>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3"/>
      <c r="C11" s="144"/>
      <c r="D11" s="408" t="str">
        <f ca="1">IF(D9=Q9,OFFSET(L!$C$1,MATCH("Declaration"&amp;ADDRESS(ROW(),COLUMN(),4),L!$A:$A,0)-1,SL,,),"")</f>
        <v/>
      </c>
      <c r="E11" s="409"/>
      <c r="F11" s="409"/>
      <c r="G11" s="409"/>
      <c r="H11" s="409"/>
      <c r="I11" s="409"/>
      <c r="J11" s="41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6" t="s">
        <v>15657</v>
      </c>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6" t="s">
        <v>15658</v>
      </c>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6" t="s">
        <v>15671</v>
      </c>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6" t="s">
        <v>15659</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4" t="s">
        <v>15660</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6" t="s">
        <v>15661</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9" t="s">
        <v>15659</v>
      </c>
      <c r="E18" s="390"/>
      <c r="F18" s="390"/>
      <c r="G18" s="390"/>
      <c r="H18" s="390"/>
      <c r="I18" s="390"/>
      <c r="J18" s="391"/>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6" t="s">
        <v>15662</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4" t="s">
        <v>15660</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7" t="s">
        <v>15663</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50">
        <v>44911</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9"/>
      <c r="E23" s="41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52" t="str">
        <f ca="1">OFFSET(L!$C$1,MATCH("Declaration"&amp;ADDRESS(ROW(),COLUMN(),4),L!$A:$A,0)-1,SL,,)</f>
        <v>Answer the following questions 1 - 8 based on the declaration scope indicated above</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2" t="s">
        <v>489</v>
      </c>
      <c r="E26" s="393"/>
      <c r="F26" s="15"/>
      <c r="G26" s="394" t="s">
        <v>15665</v>
      </c>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ustomHeight="1">
      <c r="A27" s="49"/>
      <c r="B27" s="48" t="str">
        <f ca="1">OFFSET(L!$C$1,MATCH("Declaration"&amp;ADDRESS(ROW(),COLUMN(),4),L!$A:$A,0)-1,SL,,)&amp;P27</f>
        <v>Tin  (*)</v>
      </c>
      <c r="C27" s="43"/>
      <c r="D27" s="392" t="s">
        <v>488</v>
      </c>
      <c r="E27" s="393"/>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92" t="s">
        <v>489</v>
      </c>
      <c r="E28" s="393"/>
      <c r="F28" s="15"/>
      <c r="G28" s="394" t="s">
        <v>15665</v>
      </c>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2" t="s">
        <v>489</v>
      </c>
      <c r="E29" s="393"/>
      <c r="F29" s="15"/>
      <c r="G29" s="394" t="s">
        <v>15665</v>
      </c>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1" t="str">
        <f ca="1">D25</f>
        <v>Answer</v>
      </c>
      <c r="E31" s="401"/>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11"/>
      <c r="E32" s="412"/>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2" t="s">
        <v>488</v>
      </c>
      <c r="E33" s="393"/>
      <c r="F33" s="55"/>
      <c r="G33" s="394" t="s">
        <v>15664</v>
      </c>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92"/>
      <c r="E34" s="393"/>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2"/>
      <c r="E35" s="393"/>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1" t="str">
        <f ca="1">D25</f>
        <v>Answer</v>
      </c>
      <c r="E37" s="401"/>
      <c r="F37" s="21"/>
      <c r="G37" s="52" t="str">
        <f ca="1">G25</f>
        <v>Comments</v>
      </c>
      <c r="H37" s="415"/>
      <c r="I37" s="415"/>
      <c r="J37" s="415"/>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2"/>
      <c r="E38" s="393"/>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2" t="s">
        <v>489</v>
      </c>
      <c r="E39" s="393"/>
      <c r="F39" s="55"/>
      <c r="G39" s="394" t="s">
        <v>15665</v>
      </c>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92"/>
      <c r="E40" s="393"/>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2"/>
      <c r="E41" s="393"/>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1" t="str">
        <f ca="1">D25</f>
        <v>Answer</v>
      </c>
      <c r="E43" s="401"/>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2"/>
      <c r="E44" s="393"/>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2" t="s">
        <v>489</v>
      </c>
      <c r="E45" s="393"/>
      <c r="F45" s="55"/>
      <c r="G45" s="394" t="s">
        <v>15666</v>
      </c>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2"/>
      <c r="E46" s="393"/>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2"/>
      <c r="E47" s="393"/>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2"/>
      <c r="E50" s="393"/>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2" t="s">
        <v>490</v>
      </c>
      <c r="E51" s="393"/>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92"/>
      <c r="E52" s="393"/>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2"/>
      <c r="E53" s="393"/>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1" t="str">
        <f ca="1">D25</f>
        <v>Answer</v>
      </c>
      <c r="E55" s="40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3"/>
      <c r="E56" s="414"/>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3">
        <v>1</v>
      </c>
      <c r="E57" s="414"/>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13"/>
      <c r="E58" s="414"/>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3"/>
      <c r="E59" s="414"/>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1" t="str">
        <f ca="1">D25</f>
        <v>Answer</v>
      </c>
      <c r="E61" s="401"/>
      <c r="F61" s="21"/>
      <c r="G61" s="52" t="str">
        <f ca="1">G25</f>
        <v>Comments</v>
      </c>
      <c r="H61" s="398"/>
      <c r="I61" s="398"/>
      <c r="J61" s="39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11"/>
      <c r="E62" s="412"/>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2" t="s">
        <v>488</v>
      </c>
      <c r="E63" s="393"/>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92"/>
      <c r="E64" s="393"/>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2"/>
      <c r="E65" s="393"/>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1" t="str">
        <f ca="1">D25</f>
        <v>Answer</v>
      </c>
      <c r="E67" s="401"/>
      <c r="F67" s="21"/>
      <c r="G67" s="52" t="str">
        <f ca="1">G25</f>
        <v>Comments</v>
      </c>
      <c r="H67" s="398" t="str">
        <f>IF(Q75="(*)","Click here to enter smelter names","")</f>
        <v/>
      </c>
      <c r="I67" s="398"/>
      <c r="J67" s="39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2"/>
      <c r="E68" s="393"/>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2" t="s">
        <v>488</v>
      </c>
      <c r="E69" s="393"/>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92"/>
      <c r="E70" s="393"/>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2"/>
      <c r="E71" s="393"/>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7" t="str">
        <f ca="1">OFFSET(L!$C$1,MATCH("Declaration"&amp;ADDRESS(ROW(),COLUMN(),4),L!$A:$A,0)-1,SL,,)</f>
        <v>Answer the Following Questions at a Company Level</v>
      </c>
      <c r="C73" s="397"/>
      <c r="D73" s="397"/>
      <c r="E73" s="397"/>
      <c r="F73" s="397"/>
      <c r="G73" s="397"/>
      <c r="H73" s="397"/>
      <c r="I73" s="397"/>
      <c r="J73" s="39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2" t="s">
        <v>488</v>
      </c>
      <c r="E75" s="393"/>
      <c r="F75" s="65"/>
      <c r="G75" s="394" t="s">
        <v>15670</v>
      </c>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00"/>
      <c r="H76" s="400"/>
      <c r="I76" s="400"/>
      <c r="J76" s="40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488</v>
      </c>
      <c r="E77" s="393"/>
      <c r="F77" s="65"/>
      <c r="G77" s="420" t="s">
        <v>15667</v>
      </c>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488</v>
      </c>
      <c r="E79" s="393"/>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488</v>
      </c>
      <c r="E81" s="393"/>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5" t="s">
        <v>488</v>
      </c>
      <c r="E85" s="406"/>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00"/>
      <c r="H86" s="400"/>
      <c r="I86" s="400"/>
      <c r="J86" s="40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488</v>
      </c>
      <c r="E87" s="393"/>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7"/>
      <c r="H88" s="407"/>
      <c r="I88" s="407"/>
      <c r="J88" s="40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2" t="s">
        <v>489</v>
      </c>
      <c r="E89" s="393"/>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4" t="str">
        <f>IF(OR($D$8="",$I$3=""),"","Click here to check required fields completion")</f>
        <v/>
      </c>
      <c r="C90" s="404"/>
      <c r="D90" s="404"/>
      <c r="E90" s="404"/>
      <c r="F90" s="404"/>
      <c r="G90" s="404"/>
      <c r="H90" s="404"/>
      <c r="I90" s="404"/>
      <c r="J90" s="40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02" t="str">
        <f ca="1">OFFSET(L!$C$1,MATCH("General"&amp;"Cpy",L!$A:$A,0)-1,SL,,)</f>
        <v>© 2022 Responsible Minerals Initiative. All rights reserved.</v>
      </c>
      <c r="B91" s="403"/>
      <c r="C91" s="403"/>
      <c r="D91" s="403"/>
      <c r="E91" s="403"/>
      <c r="F91" s="403"/>
      <c r="G91" s="403"/>
      <c r="H91" s="403"/>
      <c r="I91" s="403"/>
      <c r="J91" s="40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8" priority="74" stopIfTrue="1">
      <formula>AND(OR($D$26="No",AND($D$26="Yes",$D$32="No")),OR($D$27="No",AND($D$27="Yes",$D$33="No")),OR($D$28="No",AND($D$28="Yes",$D$34="No")),OR($D$29="No",AND($D$29="Yes",$D$35="No")))</formula>
    </cfRule>
    <cfRule type="expression" dxfId="87" priority="75" stopIfTrue="1">
      <formula>IF(D75="",TRUE)</formula>
    </cfRule>
  </conditionalFormatting>
  <conditionalFormatting sqref="D8:J8">
    <cfRule type="expression" dxfId="86" priority="140" stopIfTrue="1">
      <formula>IF($D$8="",TRUE)</formula>
    </cfRule>
  </conditionalFormatting>
  <conditionalFormatting sqref="D9:G9">
    <cfRule type="expression" dxfId="85" priority="141" stopIfTrue="1">
      <formula>IF($D$9="",TRUE)</formula>
    </cfRule>
  </conditionalFormatting>
  <conditionalFormatting sqref="D22:E22">
    <cfRule type="expression" dxfId="84" priority="148" stopIfTrue="1">
      <formula>IF($D$22="",TRUE)</formula>
    </cfRule>
  </conditionalFormatting>
  <conditionalFormatting sqref="D10:J10">
    <cfRule type="expression" dxfId="83" priority="45" stopIfTrue="1">
      <formula>IF($D$9=$Q$9,TRUE)</formula>
    </cfRule>
    <cfRule type="expression" dxfId="82" priority="155" stopIfTrue="1">
      <formula>IF(AND($D$10="",$D$9=$R$9),TRUE)</formula>
    </cfRule>
  </conditionalFormatting>
  <conditionalFormatting sqref="D34:E34 D40:E40 D52:E52 D58:E58 D64:E64 D70:E70">
    <cfRule type="expression" dxfId="81" priority="38" stopIfTrue="1">
      <formula>$P$28=""</formula>
    </cfRule>
  </conditionalFormatting>
  <conditionalFormatting sqref="D35:E35 D41:E41 D53:E53 D59:E59 D65:E65 D71:E71">
    <cfRule type="expression" dxfId="80" priority="153" stopIfTrue="1">
      <formula>$P$29=""</formula>
    </cfRule>
  </conditionalFormatting>
  <conditionalFormatting sqref="D32:E32">
    <cfRule type="expression" dxfId="79" priority="131" stopIfTrue="1">
      <formula>$P$26=""</formula>
    </cfRule>
  </conditionalFormatting>
  <conditionalFormatting sqref="D32:E32">
    <cfRule type="expression" dxfId="78" priority="44" stopIfTrue="1">
      <formula>IF(AND(OR($D$26="Yes",$D$26=""),$D$32=""),1,0)</formula>
    </cfRule>
  </conditionalFormatting>
  <conditionalFormatting sqref="D38 D50 D56 D62 D68">
    <cfRule type="expression" dxfId="77" priority="40" stopIfTrue="1">
      <formula>$P$32=""</formula>
    </cfRule>
  </conditionalFormatting>
  <conditionalFormatting sqref="D39:E39 D51 D57 D63 D69">
    <cfRule type="expression" dxfId="76" priority="39" stopIfTrue="1">
      <formula>$P$33=""</formula>
    </cfRule>
  </conditionalFormatting>
  <conditionalFormatting sqref="D40 D52 D58 D64 D70">
    <cfRule type="expression" dxfId="75" priority="29" stopIfTrue="1">
      <formula>$P$34=""</formula>
    </cfRule>
    <cfRule type="expression" dxfId="74" priority="151" stopIfTrue="1">
      <formula>IF(AND(OR($D$28="Yes",$D$28=""),D40=""),1,0)</formula>
    </cfRule>
  </conditionalFormatting>
  <conditionalFormatting sqref="D41 D53 D59 D65 D71">
    <cfRule type="expression" dxfId="73" priority="37" stopIfTrue="1">
      <formula>$P$35=""</formula>
    </cfRule>
  </conditionalFormatting>
  <conditionalFormatting sqref="D38:E38 D50:E50 D56:E56 D62:E62 D68:E68">
    <cfRule type="expression" dxfId="72" priority="42" stopIfTrue="1">
      <formula>$P$26=""</formula>
    </cfRule>
    <cfRule type="expression" dxfId="71" priority="43" stopIfTrue="1">
      <formula>IF(AND(OR($D$26="Yes",$D$26=""),D38=""),1,0)</formula>
    </cfRule>
  </conditionalFormatting>
  <conditionalFormatting sqref="G85:J85">
    <cfRule type="expression" dxfId="70" priority="36" stopIfTrue="1">
      <formula>IF(AND($D$85="Yes, using other format (describe)",$G$85=""),TRUE)</formula>
    </cfRule>
  </conditionalFormatting>
  <conditionalFormatting sqref="D39:E39 D51:E51 D57:E57 D63:E63 D69:E69">
    <cfRule type="expression" dxfId="69" priority="149" stopIfTrue="1">
      <formula>$P$39=""</formula>
    </cfRule>
    <cfRule type="expression" dxfId="68" priority="150" stopIfTrue="1">
      <formula>IF(AND(OR($D$27="Yes",$D$27=""),D39=""),1,0)</formula>
    </cfRule>
  </conditionalFormatting>
  <conditionalFormatting sqref="D33:E33">
    <cfRule type="expression" dxfId="67" priority="31" stopIfTrue="1">
      <formula>IF(AND(OR($D$27="Yes",$D$27=""),$D$33=""),1,0)</formula>
    </cfRule>
    <cfRule type="expression" dxfId="66" priority="32" stopIfTrue="1">
      <formula>$P$27=""</formula>
    </cfRule>
  </conditionalFormatting>
  <conditionalFormatting sqref="D34:E34">
    <cfRule type="expression" dxfId="65" priority="152" stopIfTrue="1">
      <formula>IF(AND(OR($D$28="Yes",$D$28=""),$D$34=""),1,0)</formula>
    </cfRule>
  </conditionalFormatting>
  <conditionalFormatting sqref="D41:E41 D53:E53 D59:E59 D65:E65 D71:E71">
    <cfRule type="expression" dxfId="64" priority="154" stopIfTrue="1">
      <formula>IF(AND(OR($D$29="Yes",$D$29=""),D41=""),1,0)</formula>
    </cfRule>
  </conditionalFormatting>
  <conditionalFormatting sqref="D35:E35">
    <cfRule type="expression" dxfId="63" priority="28" stopIfTrue="1">
      <formula>IF(AND(OR($D$29="Yes",$D$29=""),$D$35=""),1,0)</formula>
    </cfRule>
  </conditionalFormatting>
  <conditionalFormatting sqref="D46:E46">
    <cfRule type="expression" dxfId="62" priority="14" stopIfTrue="1">
      <formula>$P$28=""</formula>
    </cfRule>
  </conditionalFormatting>
  <conditionalFormatting sqref="D47:E47">
    <cfRule type="expression" dxfId="61" priority="22" stopIfTrue="1">
      <formula>$P$29=""</formula>
    </cfRule>
  </conditionalFormatting>
  <conditionalFormatting sqref="D44">
    <cfRule type="expression" dxfId="60" priority="16" stopIfTrue="1">
      <formula>$P$32=""</formula>
    </cfRule>
  </conditionalFormatting>
  <conditionalFormatting sqref="D45">
    <cfRule type="expression" dxfId="59" priority="15" stopIfTrue="1">
      <formula>$P$33=""</formula>
    </cfRule>
  </conditionalFormatting>
  <conditionalFormatting sqref="D46">
    <cfRule type="expression" dxfId="58" priority="12" stopIfTrue="1">
      <formula>$P$34=""</formula>
    </cfRule>
    <cfRule type="expression" dxfId="57" priority="21" stopIfTrue="1">
      <formula>IF(AND(OR($D$28="Yes",$D$28=""),D46=""),1,0)</formula>
    </cfRule>
  </conditionalFormatting>
  <conditionalFormatting sqref="D47">
    <cfRule type="expression" dxfId="56" priority="13" stopIfTrue="1">
      <formula>$P$35=""</formula>
    </cfRule>
  </conditionalFormatting>
  <conditionalFormatting sqref="D44:E44">
    <cfRule type="expression" dxfId="55" priority="17" stopIfTrue="1">
      <formula>$P$26=""</formula>
    </cfRule>
    <cfRule type="expression" dxfId="54" priority="18" stopIfTrue="1">
      <formula>IF(AND(OR($D$26="Yes",$D$26=""),D44=""),1,0)</formula>
    </cfRule>
  </conditionalFormatting>
  <conditionalFormatting sqref="D45:E45">
    <cfRule type="expression" dxfId="53" priority="19" stopIfTrue="1">
      <formula>$P$39=""</formula>
    </cfRule>
    <cfRule type="expression" dxfId="52" priority="20" stopIfTrue="1">
      <formula>IF(AND(OR($D$27="Yes",$D$27=""),D45=""),1,0)</formula>
    </cfRule>
  </conditionalFormatting>
  <conditionalFormatting sqref="D47:E47">
    <cfRule type="expression" dxfId="51" priority="23" stopIfTrue="1">
      <formula>IF(AND(OR($D$29="Yes",$D$29=""),D47=""),1,0)</formula>
    </cfRule>
  </conditionalFormatting>
  <conditionalFormatting sqref="D15:J15">
    <cfRule type="expression" dxfId="50" priority="8" stopIfTrue="1">
      <formula>IF($D$15="",TRUE)</formula>
    </cfRule>
  </conditionalFormatting>
  <conditionalFormatting sqref="D16:J16">
    <cfRule type="expression" dxfId="49" priority="9" stopIfTrue="1">
      <formula>IF($D$16="",TRUE)</formula>
    </cfRule>
  </conditionalFormatting>
  <conditionalFormatting sqref="D17:J17">
    <cfRule type="expression" dxfId="48" priority="6" stopIfTrue="1">
      <formula>IF($D$17="",TRUE)</formula>
    </cfRule>
  </conditionalFormatting>
  <conditionalFormatting sqref="D20:J20">
    <cfRule type="expression" dxfId="47" priority="7" stopIfTrue="1">
      <formula>IF($D$20="",TRUE)</formula>
    </cfRule>
  </conditionalFormatting>
  <conditionalFormatting sqref="D18:J18">
    <cfRule type="expression" dxfId="46" priority="10" stopIfTrue="1">
      <formula>IF($D$18="",TRUE)</formula>
    </cfRule>
  </conditionalFormatting>
  <conditionalFormatting sqref="D26:E26">
    <cfRule type="expression" dxfId="45" priority="2" stopIfTrue="1">
      <formula>IF($D$26="",TRUE)</formula>
    </cfRule>
  </conditionalFormatting>
  <conditionalFormatting sqref="D27:E27">
    <cfRule type="expression" dxfId="44" priority="3" stopIfTrue="1">
      <formula>IF($D$27="",TRUE)</formula>
    </cfRule>
  </conditionalFormatting>
  <conditionalFormatting sqref="D28:E28">
    <cfRule type="expression" dxfId="43" priority="4" stopIfTrue="1">
      <formula>IF($D$28="",TRUE)</formula>
    </cfRule>
  </conditionalFormatting>
  <conditionalFormatting sqref="D29:E29">
    <cfRule type="expression" dxfId="42" priority="5" stopIfTrue="1">
      <formula>IF($D$29="",TRUE)</formula>
    </cfRule>
  </conditionalFormatting>
  <conditionalFormatting sqref="G77:J77">
    <cfRule type="expression" dxfId="41"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9103310-C250-4836-ABB5-BCE6F64620D0}"/>
    <hyperlink ref="D20" r:id="rId4" xr:uid="{E2461903-1F34-489B-8C9D-A8459AA3DA2D}"/>
    <hyperlink ref="G77" r:id="rId5" xr:uid="{F7C79C24-179A-4C6F-AEA6-A40D49A866B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selection activeCell="D5" sqref="D5"/>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3" t="str">
        <f ca="1">OFFSET(L!$C$1,MATCH("Smelter List"&amp;ADDRESS(ROW(),COLUMN(),4),L!$A:$A,0)-1,SL,,)</f>
        <v>Link to "RMAP Conformant Smelter List"</v>
      </c>
      <c r="K2" s="454"/>
      <c r="L2" s="454"/>
      <c r="M2" s="454"/>
      <c r="N2" s="454"/>
      <c r="O2" s="454"/>
      <c r="P2" s="224"/>
      <c r="Q2" s="225"/>
      <c r="R2" s="226"/>
      <c r="S2" s="226"/>
      <c r="T2" s="226"/>
      <c r="U2" s="254"/>
      <c r="V2" s="254"/>
      <c r="W2" s="255"/>
      <c r="X2" s="254"/>
      <c r="Y2" s="254"/>
      <c r="Z2" s="254"/>
      <c r="AH2" s="167" t="s">
        <v>488</v>
      </c>
    </row>
    <row r="3" spans="1:34" s="256" customFormat="1" ht="173.4" customHeight="1">
      <c r="A3" s="195"/>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56" t="s">
        <v>775</v>
      </c>
      <c r="B5" s="208" t="s">
        <v>1131</v>
      </c>
      <c r="C5" s="212" t="str">
        <f ca="1">IF(LEN(A5)=0,"",INDEX('Smelter Look-up'!$C:$C,MATCH($A5,'Smelter Look-up'!$E:$E,0)))</f>
        <v>Mineracao Taboca S.A.</v>
      </c>
      <c r="D5" s="270" t="s">
        <v>12509</v>
      </c>
      <c r="E5" s="208" t="str">
        <f ca="1">IF(ISERROR($V5),"",OFFSET('Smelter Look-up'!$D$4,$V5-4,0)&amp;"")</f>
        <v>BRAZIL</v>
      </c>
      <c r="F5" s="208" t="str">
        <f ca="1">IF(ISERROR($V5),"",OFFSET('Smelter Look-up'!$E$4,$V5-4,0))</f>
        <v>CID001173</v>
      </c>
      <c r="G5" s="208" t="str">
        <f ca="1">IF(C5=$X$4,IF(ISERROR($V5),"Enter smelter details","RMI"),IF(ISERROR($V5),"",OFFSET('Smelter Look-up'!$F$4,$V5-4,0)))</f>
        <v>RMI</v>
      </c>
      <c r="H5" s="209">
        <f ca="1">IF(ISERROR($V5),"",OFFSET('Smelter Look-up'!$G$4,$V5-4,0))</f>
        <v>0</v>
      </c>
      <c r="I5" s="210" t="str">
        <f ca="1">IF(ISERROR($V5),"",OFFSET('Smelter Look-up'!$H$4,$V5-4,0))</f>
        <v>Bairro Guarapiranga</v>
      </c>
      <c r="J5" s="210" t="str">
        <f ca="1">IF(ISERROR($V5),"",OFFSET('Smelter Look-up'!$I$4,$V5-4,0))</f>
        <v>São Paulo</v>
      </c>
      <c r="K5" s="260"/>
      <c r="L5" s="260"/>
      <c r="M5" s="260"/>
      <c r="N5" s="357" t="s">
        <v>15668</v>
      </c>
      <c r="O5" s="357" t="s">
        <v>15668</v>
      </c>
      <c r="P5" s="357" t="s">
        <v>15668</v>
      </c>
      <c r="Q5" s="358" t="s">
        <v>15669</v>
      </c>
      <c r="R5" s="208" t="str">
        <f ca="1">IF(ISERROR($V5),"",OFFSET('Smelter Look-up'!$C$4,$V5-4,0)&amp;"")</f>
        <v>Mineracao Taboca S.A.</v>
      </c>
      <c r="S5" s="215" t="str">
        <f t="shared" ref="S5" ca="1" si="0">IF(B5="","",IF(ISERROR(MATCH($E5,CL,0)),"Unknown",INDIRECT("'C'!$A$"&amp;MATCH($E5,CL,0)+1)))</f>
        <v>BR</v>
      </c>
      <c r="T5" s="215" t="str">
        <f ca="1">IF(B5="","",IF(ISERROR(MATCH($J5,SorP!$B$1:$B$6230,0)),"",INDIRECT("'SorP'!$A$"&amp;MATCH($J5,SorP!$B$1:$B$6230,0))))</f>
        <v>BR-SP</v>
      </c>
      <c r="U5" s="231"/>
      <c r="V5" s="262">
        <f ca="1">IF(C5="",NA(),IF(OR(C5="Smelter not listed",C5="Smelter not yet identified"),MATCH($B5&amp;$D5,'Smelter Look-up'!$J:$J,0),MATCH($B5&amp;$C5,'Smelter Look-up'!$J:$J,0)))</f>
        <v>464</v>
      </c>
      <c r="W5" s="263"/>
      <c r="X5" s="263">
        <f t="shared" ref="X5" ca="1" si="1">IF(AND(C5="Smelter not listed",OR(LEN(D5)=0,LEN(E5)=0)),1,0)</f>
        <v>0</v>
      </c>
      <c r="Y5" s="263"/>
      <c r="Z5" s="263"/>
      <c r="AB5" s="265" t="str">
        <f t="shared" ref="AB5" ca="1" si="2">B5&amp;C5</f>
        <v>TinMineracao Taboca S.A.</v>
      </c>
    </row>
    <row r="6" spans="1:34" s="264" customFormat="1" ht="19.95" customHeight="1">
      <c r="A6" s="356" t="s">
        <v>774</v>
      </c>
      <c r="B6" s="208" t="s">
        <v>1131</v>
      </c>
      <c r="C6" s="212" t="str">
        <f ca="1">IF(LEN(A6)=0,"",INDEX('Smelter Look-up'!$C:$C,MATCH($A6,'Smelter Look-up'!$E:$E,0)))</f>
        <v>Malaysia Smelting Corporation (MSC)</v>
      </c>
      <c r="D6" s="270" t="s">
        <v>821</v>
      </c>
      <c r="E6" s="208" t="str">
        <f ca="1">IF(ISERROR($V6),"",OFFSET('Smelter Look-up'!$D$4,$V6-4,0)&amp;"")</f>
        <v>MALAYSIA</v>
      </c>
      <c r="F6" s="208" t="str">
        <f ca="1">IF(ISERROR($V6),"",OFFSET('Smelter Look-up'!$E$4,$V6-4,0))</f>
        <v>CID001105</v>
      </c>
      <c r="G6" s="208" t="str">
        <f ca="1">IF(C6=$X$4,IF(ISERROR($V6),"Enter smelter details","RMI"),IF(ISERROR($V6),"",OFFSET('Smelter Look-up'!$F$4,$V6-4,0)))</f>
        <v>RMI</v>
      </c>
      <c r="H6" s="209">
        <f ca="1">IF(ISERROR($V6),"",OFFSET('Smelter Look-up'!$G$4,$V6-4,0))</f>
        <v>0</v>
      </c>
      <c r="I6" s="210" t="str">
        <f ca="1">IF(ISERROR($V6),"",OFFSET('Smelter Look-up'!$H$4,$V6-4,0))</f>
        <v>Butterworth</v>
      </c>
      <c r="J6" s="210" t="str">
        <f ca="1">IF(ISERROR($V6),"",OFFSET('Smelter Look-up'!$I$4,$V6-4,0))</f>
        <v>Pulau Pinang</v>
      </c>
      <c r="K6" s="260"/>
      <c r="L6" s="260"/>
      <c r="M6" s="260"/>
      <c r="N6" s="357" t="s">
        <v>15668</v>
      </c>
      <c r="O6" s="357" t="s">
        <v>15668</v>
      </c>
      <c r="P6" s="357" t="s">
        <v>15668</v>
      </c>
      <c r="Q6" s="358" t="s">
        <v>15669</v>
      </c>
      <c r="R6" s="208" t="str">
        <f ca="1">IF(ISERROR($V6),"",OFFSET('Smelter Look-up'!$C$4,$V6-4,0)&amp;"")</f>
        <v>Malaysia Smelting Corporation (MSC)</v>
      </c>
      <c r="S6" s="215" t="str">
        <f t="shared" ref="S6:S37" ca="1" si="3">IF(B6="","",IF(ISERROR(MATCH($E6,CL,0)),"Unknown",INDIRECT("'C'!$A$"&amp;MATCH($E6,CL,0)+1)))</f>
        <v>MY</v>
      </c>
      <c r="T6" s="215" t="str">
        <f ca="1">IF(B6="","",IF(ISERROR(MATCH($J6,SorP!$B$1:$B$6230,0)),"",INDIRECT("'SorP'!$A$"&amp;MATCH($J6,SorP!$B$1:$B$6230,0))))</f>
        <v>MY-07</v>
      </c>
      <c r="U6" s="231"/>
      <c r="V6" s="262">
        <f ca="1">IF(C6="",NA(),IF(OR(C6="Smelter not listed",C6="Smelter not yet identified"),MATCH($B6&amp;$D6,'Smelter Look-up'!$J:$J,0),MATCH($B6&amp;$C6,'Smelter Look-up'!$J:$J,0)))</f>
        <v>457</v>
      </c>
      <c r="W6" s="263"/>
      <c r="X6" s="263">
        <f t="shared" ref="X6:X37" ca="1" si="4">IF(AND(C6="Smelter not listed",OR(LEN(D6)=0,LEN(E6)=0)),1,0)</f>
        <v>0</v>
      </c>
      <c r="Y6" s="263"/>
      <c r="Z6" s="263"/>
      <c r="AB6" s="265" t="str">
        <f t="shared" ref="AB6:AB37" ca="1" si="5">B6&amp;C6</f>
        <v>TinMalaysia Smelting Corporation (MSC)</v>
      </c>
    </row>
    <row r="7" spans="1:34" s="264" customFormat="1" ht="19.95" customHeight="1">
      <c r="A7" s="356" t="s">
        <v>788</v>
      </c>
      <c r="B7" s="208" t="s">
        <v>1131</v>
      </c>
      <c r="C7" s="212" t="str">
        <f ca="1">IF(LEN(A7)=0,"",INDEX('Smelter Look-up'!$C:$C,MATCH($A7,'Smelter Look-up'!$E:$E,0)))</f>
        <v>Thaisarco</v>
      </c>
      <c r="D7" s="270" t="s">
        <v>1031</v>
      </c>
      <c r="E7" s="208" t="str">
        <f ca="1">IF(ISERROR($V7),"",OFFSET('Smelter Look-up'!$D$4,$V7-4,0)&amp;"")</f>
        <v>THAILAND</v>
      </c>
      <c r="F7" s="208" t="str">
        <f ca="1">IF(ISERROR($V7),"",OFFSET('Smelter Look-up'!$E$4,$V7-4,0))</f>
        <v>CID001898</v>
      </c>
      <c r="G7" s="208" t="str">
        <f ca="1">IF(C7=$X$4,IF(ISERROR($V7),"Enter smelter details","RMI"),IF(ISERROR($V7),"",OFFSET('Smelter Look-up'!$F$4,$V7-4,0)))</f>
        <v>RMI</v>
      </c>
      <c r="H7" s="209">
        <f ca="1">IF(ISERROR($V7),"",OFFSET('Smelter Look-up'!$G$4,$V7-4,0))</f>
        <v>0</v>
      </c>
      <c r="I7" s="210" t="str">
        <f ca="1">IF(ISERROR($V7),"",OFFSET('Smelter Look-up'!$H$4,$V7-4,0))</f>
        <v>Amphur Muang</v>
      </c>
      <c r="J7" s="210" t="str">
        <f ca="1">IF(ISERROR($V7),"",OFFSET('Smelter Look-up'!$I$4,$V7-4,0))</f>
        <v>Phuket</v>
      </c>
      <c r="K7" s="260"/>
      <c r="L7" s="260"/>
      <c r="M7" s="260"/>
      <c r="N7" s="357" t="s">
        <v>15668</v>
      </c>
      <c r="O7" s="357" t="s">
        <v>15668</v>
      </c>
      <c r="P7" s="357" t="s">
        <v>15668</v>
      </c>
      <c r="Q7" s="358" t="s">
        <v>15669</v>
      </c>
      <c r="R7" s="208" t="str">
        <f ca="1">IF(ISERROR($V7),"",OFFSET('Smelter Look-up'!$C$4,$V7-4,0)&amp;"")</f>
        <v>Thaisarco</v>
      </c>
      <c r="S7" s="215" t="str">
        <f t="shared" ca="1" si="3"/>
        <v>TH</v>
      </c>
      <c r="T7" s="215" t="str">
        <f ca="1">IF(B7="","",IF(ISERROR(MATCH($J7,SorP!$B$1:$B$6230,0)),"",INDIRECT("'SorP'!$A$"&amp;MATCH($J7,SorP!$B$1:$B$6230,0))))</f>
        <v>TH-83</v>
      </c>
      <c r="U7" s="231"/>
      <c r="V7" s="262">
        <f ca="1">IF(C7="",NA(),IF(OR(C7="Smelter not listed",C7="Smelter not yet identified"),MATCH($B7&amp;$D7,'Smelter Look-up'!$J:$J,0),MATCH($B7&amp;$C7,'Smelter Look-up'!$J:$J,0)))</f>
        <v>523</v>
      </c>
      <c r="W7" s="263"/>
      <c r="X7" s="263">
        <f t="shared" ca="1" si="4"/>
        <v>0</v>
      </c>
      <c r="Y7" s="263"/>
      <c r="Z7" s="263"/>
      <c r="AB7" s="265" t="str">
        <f t="shared" ca="1" si="5"/>
        <v>TinThaisarco</v>
      </c>
    </row>
    <row r="8" spans="1:34" s="264" customFormat="1" ht="19.95" customHeight="1">
      <c r="A8" s="356" t="s">
        <v>804</v>
      </c>
      <c r="B8" s="208" t="s">
        <v>1131</v>
      </c>
      <c r="C8" s="212" t="str">
        <f ca="1">IF(LEN(A8)=0,"",INDEX('Smelter Look-up'!$C:$C,MATCH($A8,'Smelter Look-up'!$E:$E,0)))</f>
        <v>PT Timah Tbk Kundur</v>
      </c>
      <c r="D8" s="270" t="s">
        <v>13882</v>
      </c>
      <c r="E8" s="208" t="str">
        <f ca="1">IF(ISERROR($V8),"",OFFSET('Smelter Look-up'!$D$4,$V8-4,0)&amp;"")</f>
        <v>INDONESIA</v>
      </c>
      <c r="F8" s="208" t="str">
        <f ca="1">IF(ISERROR($V8),"",OFFSET('Smelter Look-up'!$E$4,$V8-4,0))</f>
        <v>CID001477</v>
      </c>
      <c r="G8" s="208" t="str">
        <f ca="1">IF(C8=$X$4,IF(ISERROR($V8),"Enter smelter details","RMI"),IF(ISERROR($V8),"",OFFSET('Smelter Look-up'!$F$4,$V8-4,0)))</f>
        <v>RMI</v>
      </c>
      <c r="H8" s="209">
        <f ca="1">IF(ISERROR($V8),"",OFFSET('Smelter Look-up'!$G$4,$V8-4,0))</f>
        <v>0</v>
      </c>
      <c r="I8" s="210" t="str">
        <f ca="1">IF(ISERROR($V8),"",OFFSET('Smelter Look-up'!$H$4,$V8-4,0))</f>
        <v>Kundur</v>
      </c>
      <c r="J8" s="210" t="str">
        <f ca="1">IF(ISERROR($V8),"",OFFSET('Smelter Look-up'!$I$4,$V8-4,0))</f>
        <v>Riau</v>
      </c>
      <c r="K8" s="260"/>
      <c r="L8" s="260"/>
      <c r="M8" s="260"/>
      <c r="N8" s="357" t="s">
        <v>15668</v>
      </c>
      <c r="O8" s="357" t="s">
        <v>15668</v>
      </c>
      <c r="P8" s="357" t="s">
        <v>15668</v>
      </c>
      <c r="Q8" s="358" t="s">
        <v>15669</v>
      </c>
      <c r="R8" s="208" t="str">
        <f ca="1">IF(ISERROR($V8),"",OFFSET('Smelter Look-up'!$C$4,$V8-4,0)&amp;"")</f>
        <v>PT Timah Tbk Kundur</v>
      </c>
      <c r="S8" s="215" t="str">
        <f t="shared" ca="1" si="3"/>
        <v>ID</v>
      </c>
      <c r="T8" s="215" t="str">
        <f ca="1">IF(B8="","",IF(ISERROR(MATCH($J8,SorP!$B$1:$B$6230,0)),"",INDIRECT("'SorP'!$A$"&amp;MATCH($J8,SorP!$B$1:$B$6230,0))))</f>
        <v>ID-RI</v>
      </c>
      <c r="U8" s="231"/>
      <c r="V8" s="262">
        <f ca="1">IF(C8="",NA(),IF(OR(C8="Smelter not listed",C8="Smelter not yet identified"),MATCH($B8&amp;$D8,'Smelter Look-up'!$J:$J,0),MATCH($B8&amp;$C8,'Smelter Look-up'!$J:$J,0)))</f>
        <v>508</v>
      </c>
      <c r="W8" s="263"/>
      <c r="X8" s="263">
        <f t="shared" ca="1" si="4"/>
        <v>0</v>
      </c>
      <c r="Y8" s="263"/>
      <c r="Z8" s="263"/>
      <c r="AB8" s="265" t="str">
        <f t="shared" ca="1" si="5"/>
        <v>TinPT Timah Tbk Kundur</v>
      </c>
    </row>
    <row r="9" spans="1:34" s="264" customFormat="1" ht="19.95" customHeight="1">
      <c r="A9" s="356" t="s">
        <v>784</v>
      </c>
      <c r="B9" s="208" t="s">
        <v>1131</v>
      </c>
      <c r="C9" s="212" t="str">
        <f ca="1">IF(LEN(A9)=0,"",INDEX('Smelter Look-up'!$C:$C,MATCH($A9,'Smelter Look-up'!$E:$E,0)))</f>
        <v>PT Timah Tbk Mentok</v>
      </c>
      <c r="D9" s="270" t="s">
        <v>13881</v>
      </c>
      <c r="E9" s="208" t="str">
        <f ca="1">IF(ISERROR($V9),"",OFFSET('Smelter Look-up'!$D$4,$V9-4,0)&amp;"")</f>
        <v>INDONESIA</v>
      </c>
      <c r="F9" s="208" t="str">
        <f ca="1">IF(ISERROR($V9),"",OFFSET('Smelter Look-up'!$E$4,$V9-4,0))</f>
        <v>CID001482</v>
      </c>
      <c r="G9" s="208" t="str">
        <f ca="1">IF(C9=$X$4,IF(ISERROR($V9),"Enter smelter details","RMI"),IF(ISERROR($V9),"",OFFSET('Smelter Look-up'!$F$4,$V9-4,0)))</f>
        <v>RMI</v>
      </c>
      <c r="H9" s="209">
        <f ca="1">IF(ISERROR($V9),"",OFFSET('Smelter Look-up'!$G$4,$V9-4,0))</f>
        <v>0</v>
      </c>
      <c r="I9" s="210" t="str">
        <f ca="1">IF(ISERROR($V9),"",OFFSET('Smelter Look-up'!$H$4,$V9-4,0))</f>
        <v>Mentok</v>
      </c>
      <c r="J9" s="210" t="str">
        <f ca="1">IF(ISERROR($V9),"",OFFSET('Smelter Look-up'!$I$4,$V9-4,0))</f>
        <v>Kepulauan Bangka Belitung</v>
      </c>
      <c r="K9" s="260"/>
      <c r="L9" s="260"/>
      <c r="M9" s="260"/>
      <c r="N9" s="357" t="s">
        <v>15668</v>
      </c>
      <c r="O9" s="357" t="s">
        <v>15668</v>
      </c>
      <c r="P9" s="357" t="s">
        <v>15668</v>
      </c>
      <c r="Q9" s="358" t="s">
        <v>15669</v>
      </c>
      <c r="R9" s="208" t="str">
        <f ca="1">IF(ISERROR($V9),"",OFFSET('Smelter Look-up'!$C$4,$V9-4,0)&amp;"")</f>
        <v>PT Timah Tbk Mentok</v>
      </c>
      <c r="S9" s="215" t="str">
        <f t="shared" ca="1" si="3"/>
        <v>ID</v>
      </c>
      <c r="T9" s="215" t="str">
        <f ca="1">IF(B9="","",IF(ISERROR(MATCH($J9,SorP!$B$1:$B$6230,0)),"",INDIRECT("'SorP'!$A$"&amp;MATCH($J9,SorP!$B$1:$B$6230,0))))</f>
        <v>ID-BB</v>
      </c>
      <c r="U9" s="231"/>
      <c r="V9" s="262">
        <f ca="1">IF(C9="",NA(),IF(OR(C9="Smelter not listed",C9="Smelter not yet identified"),MATCH($B9&amp;$D9,'Smelter Look-up'!$J:$J,0),MATCH($B9&amp;$C9,'Smelter Look-up'!$J:$J,0)))</f>
        <v>509</v>
      </c>
      <c r="W9" s="263"/>
      <c r="X9" s="263">
        <f t="shared" ca="1" si="4"/>
        <v>0</v>
      </c>
      <c r="Y9" s="263"/>
      <c r="Z9" s="263"/>
      <c r="AB9" s="265" t="str">
        <f t="shared" ca="1" si="5"/>
        <v>TinPT Timah Tbk Mentok</v>
      </c>
    </row>
    <row r="10" spans="1:34" s="264" customFormat="1" ht="19.95" customHeight="1">
      <c r="A10" s="356" t="s">
        <v>1829</v>
      </c>
      <c r="B10" s="208" t="s">
        <v>1131</v>
      </c>
      <c r="C10" s="212" t="str">
        <f ca="1">IF(LEN(A10)=0,"",INDEX('Smelter Look-up'!$C:$C,MATCH($A10,'Smelter Look-up'!$E:$E,0)))</f>
        <v>Metallo Belgium N.V.</v>
      </c>
      <c r="D10" s="270" t="s">
        <v>13012</v>
      </c>
      <c r="E10" s="208" t="str">
        <f ca="1">IF(ISERROR($V10),"",OFFSET('Smelter Look-up'!$D$4,$V10-4,0)&amp;"")</f>
        <v>BELGIUM</v>
      </c>
      <c r="F10" s="208" t="str">
        <f ca="1">IF(ISERROR($V10),"",OFFSET('Smelter Look-up'!$E$4,$V10-4,0))</f>
        <v>CID002773</v>
      </c>
      <c r="G10" s="208" t="str">
        <f ca="1">IF(C10=$X$4,IF(ISERROR($V10),"Enter smelter details","RMI"),IF(ISERROR($V10),"",OFFSET('Smelter Look-up'!$F$4,$V10-4,0)))</f>
        <v>RMI</v>
      </c>
      <c r="H10" s="209">
        <f ca="1">IF(ISERROR($V10),"",OFFSET('Smelter Look-up'!$G$4,$V10-4,0))</f>
        <v>0</v>
      </c>
      <c r="I10" s="210" t="str">
        <f ca="1">IF(ISERROR($V10),"",OFFSET('Smelter Look-up'!$H$4,$V10-4,0))</f>
        <v>Beerse</v>
      </c>
      <c r="J10" s="210" t="str">
        <f ca="1">IF(ISERROR($V10),"",OFFSET('Smelter Look-up'!$I$4,$V10-4,0))</f>
        <v>Antwerpen</v>
      </c>
      <c r="K10" s="260"/>
      <c r="L10" s="260"/>
      <c r="M10" s="260"/>
      <c r="N10" s="357" t="s">
        <v>15668</v>
      </c>
      <c r="O10" s="357" t="s">
        <v>15668</v>
      </c>
      <c r="P10" s="357" t="s">
        <v>15668</v>
      </c>
      <c r="Q10" s="358" t="s">
        <v>15669</v>
      </c>
      <c r="R10" s="208" t="str">
        <f ca="1">IF(ISERROR($V10),"",OFFSET('Smelter Look-up'!$C$4,$V10-4,0)&amp;"")</f>
        <v>Metallo Belgium N.V.</v>
      </c>
      <c r="S10" s="215" t="str">
        <f t="shared" ca="1" si="3"/>
        <v>BE</v>
      </c>
      <c r="T10" s="215" t="str">
        <f ca="1">IF(B10="","",IF(ISERROR(MATCH($J10,SorP!$B$1:$B$6230,0)),"",INDIRECT("'SorP'!$A$"&amp;MATCH($J10,SorP!$B$1:$B$6230,0))))</f>
        <v>BE-VAN</v>
      </c>
      <c r="U10" s="231"/>
      <c r="V10" s="262">
        <f ca="1">IF(C10="",NA(),IF(OR(C10="Smelter not listed",C10="Smelter not yet identified"),MATCH($B10&amp;$D10,'Smelter Look-up'!$J:$J,0),MATCH($B10&amp;$C10,'Smelter Look-up'!$J:$J,0)))</f>
        <v>462</v>
      </c>
      <c r="W10" s="263"/>
      <c r="X10" s="263">
        <f t="shared" ca="1" si="4"/>
        <v>0</v>
      </c>
      <c r="Y10" s="263"/>
      <c r="Z10" s="263"/>
      <c r="AB10" s="265" t="str">
        <f t="shared" ca="1" si="5"/>
        <v>TinMetallo Belgium N.V.</v>
      </c>
    </row>
    <row r="11" spans="1:34" s="264" customFormat="1" ht="19.95" customHeight="1">
      <c r="A11" s="356" t="s">
        <v>782</v>
      </c>
      <c r="B11" s="208" t="s">
        <v>1131</v>
      </c>
      <c r="C11" s="212" t="str">
        <f ca="1">IF(LEN(A11)=0,"",INDEX('Smelter Look-up'!$C:$C,MATCH($A11,'Smelter Look-up'!$E:$E,0)))</f>
        <v>PT Mitra Stania Prima</v>
      </c>
      <c r="D11" s="270" t="s">
        <v>627</v>
      </c>
      <c r="E11" s="208" t="str">
        <f ca="1">IF(ISERROR($V11),"",OFFSET('Smelter Look-up'!$D$4,$V11-4,0)&amp;"")</f>
        <v>INDONESIA</v>
      </c>
      <c r="F11" s="208" t="str">
        <f ca="1">IF(ISERROR($V11),"",OFFSET('Smelter Look-up'!$E$4,$V11-4,0))</f>
        <v>CID001453</v>
      </c>
      <c r="G11" s="208" t="str">
        <f ca="1">IF(C11=$X$4,IF(ISERROR($V11),"Enter smelter details","RMI"),IF(ISERROR($V11),"",OFFSET('Smelter Look-up'!$F$4,$V11-4,0)))</f>
        <v>RMI</v>
      </c>
      <c r="H11" s="209">
        <f ca="1">IF(ISERROR($V11),"",OFFSET('Smelter Look-up'!$G$4,$V11-4,0))</f>
        <v>0</v>
      </c>
      <c r="I11" s="210" t="str">
        <f ca="1">IF(ISERROR($V11),"",OFFSET('Smelter Look-up'!$H$4,$V11-4,0))</f>
        <v>Sungailiat</v>
      </c>
      <c r="J11" s="210" t="str">
        <f ca="1">IF(ISERROR($V11),"",OFFSET('Smelter Look-up'!$I$4,$V11-4,0))</f>
        <v>Kepulauan Bangka Belitung</v>
      </c>
      <c r="K11" s="260"/>
      <c r="L11" s="260"/>
      <c r="M11" s="260"/>
      <c r="N11" s="357" t="s">
        <v>15668</v>
      </c>
      <c r="O11" s="357" t="s">
        <v>15668</v>
      </c>
      <c r="P11" s="357" t="s">
        <v>15668</v>
      </c>
      <c r="Q11" s="358" t="s">
        <v>15669</v>
      </c>
      <c r="R11" s="208" t="str">
        <f ca="1">IF(ISERROR($V11),"",OFFSET('Smelter Look-up'!$C$4,$V11-4,0)&amp;"")</f>
        <v>PT Mitra Stania Prima</v>
      </c>
      <c r="S11" s="215" t="str">
        <f t="shared" ca="1" si="3"/>
        <v>ID</v>
      </c>
      <c r="T11" s="215" t="str">
        <f ca="1">IF(B11="","",IF(ISERROR(MATCH($J11,SorP!$B$1:$B$6230,0)),"",INDIRECT("'SorP'!$A$"&amp;MATCH($J11,SorP!$B$1:$B$6230,0))))</f>
        <v>ID-BB</v>
      </c>
      <c r="U11" s="231"/>
      <c r="V11" s="262">
        <f ca="1">IF(C11="",NA(),IF(OR(C11="Smelter not listed",C11="Smelter not yet identified"),MATCH($B11&amp;$D11,'Smelter Look-up'!$J:$J,0),MATCH($B11&amp;$C11,'Smelter Look-up'!$J:$J,0)))</f>
        <v>496</v>
      </c>
      <c r="W11" s="263"/>
      <c r="X11" s="263">
        <f t="shared" ca="1" si="4"/>
        <v>0</v>
      </c>
      <c r="Y11" s="263"/>
      <c r="Z11" s="263"/>
      <c r="AB11" s="265" t="str">
        <f t="shared" ca="1" si="5"/>
        <v>TinPT Mitra Stania Prima</v>
      </c>
    </row>
    <row r="12" spans="1:34" s="264" customFormat="1" ht="19.95" customHeight="1">
      <c r="A12" s="207" t="s">
        <v>789</v>
      </c>
      <c r="B12" s="208" t="s">
        <v>1131</v>
      </c>
      <c r="C12" s="212" t="str">
        <f ca="1">IF(LEN(A12)=0,"",INDEX('Smelter Look-up'!$C:$C,MATCH($A12,'Smelter Look-up'!$E:$E,0)))</f>
        <v>White Solder Metalurgia e Mineracao Ltda.</v>
      </c>
      <c r="D12" s="270" t="s">
        <v>2556</v>
      </c>
      <c r="E12" s="208" t="str">
        <f ca="1">IF(ISERROR($V12),"",OFFSET('Smelter Look-up'!$D$4,$V12-4,0)&amp;"")</f>
        <v>BRAZIL</v>
      </c>
      <c r="F12" s="208" t="str">
        <f ca="1">IF(ISERROR($V12),"",OFFSET('Smelter Look-up'!$E$4,$V12-4,0))</f>
        <v>CID002036</v>
      </c>
      <c r="G12" s="208" t="str">
        <f ca="1">IF(C12=$X$4,IF(ISERROR($V12),"Enter smelter details","RMI"),IF(ISERROR($V12),"",OFFSET('Smelter Look-up'!$F$4,$V12-4,0)))</f>
        <v>RMI</v>
      </c>
      <c r="H12" s="209">
        <f ca="1">IF(ISERROR($V12),"",OFFSET('Smelter Look-up'!$G$4,$V12-4,0))</f>
        <v>0</v>
      </c>
      <c r="I12" s="210" t="str">
        <f ca="1">IF(ISERROR($V12),"",OFFSET('Smelter Look-up'!$H$4,$V12-4,0))</f>
        <v>Ariquemes</v>
      </c>
      <c r="J12" s="210" t="str">
        <f ca="1">IF(ISERROR($V12),"",OFFSET('Smelter Look-up'!$I$4,$V12-4,0))</f>
        <v>Rondônia</v>
      </c>
      <c r="K12" s="260"/>
      <c r="L12" s="260"/>
      <c r="M12" s="260"/>
      <c r="N12" s="357" t="s">
        <v>15668</v>
      </c>
      <c r="O12" s="357" t="s">
        <v>15668</v>
      </c>
      <c r="P12" s="357" t="s">
        <v>15668</v>
      </c>
      <c r="Q12" s="358" t="s">
        <v>15669</v>
      </c>
      <c r="R12" s="208" t="str">
        <f ca="1">IF(ISERROR($V12),"",OFFSET('Smelter Look-up'!$C$4,$V12-4,0)&amp;"")</f>
        <v>White Solder Metalurgia e Mineracao Ltda.</v>
      </c>
      <c r="S12" s="215" t="str">
        <f t="shared" ca="1" si="3"/>
        <v>BR</v>
      </c>
      <c r="T12" s="215" t="str">
        <f ca="1">IF(B12="","",IF(ISERROR(MATCH($J12,SorP!$B$1:$B$6230,0)),"",INDIRECT("'SorP'!$A$"&amp;MATCH($J12,SorP!$B$1:$B$6230,0))))</f>
        <v>BR-RO</v>
      </c>
      <c r="U12" s="231"/>
      <c r="V12" s="262">
        <f ca="1">IF(C12="",NA(),IF(OR(C12="Smelter not listed",C12="Smelter not yet identified"),MATCH($B12&amp;$D12,'Smelter Look-up'!$J:$J,0),MATCH($B12&amp;$C12,'Smelter Look-up'!$J:$J,0)))</f>
        <v>532</v>
      </c>
      <c r="W12" s="263"/>
      <c r="X12" s="263">
        <f t="shared" ca="1" si="4"/>
        <v>0</v>
      </c>
      <c r="Y12" s="263"/>
      <c r="Z12" s="263"/>
      <c r="AB12" s="265" t="str">
        <f t="shared" ca="1" si="5"/>
        <v>TinWhite Solder Metalurgia e Mineracao Ltda.</v>
      </c>
    </row>
    <row r="13" spans="1:34" s="264" customFormat="1" ht="19.95" customHeight="1">
      <c r="A13" s="207" t="s">
        <v>786</v>
      </c>
      <c r="B13" s="208" t="s">
        <v>1131</v>
      </c>
      <c r="C13" s="212" t="str">
        <f ca="1">IF(LEN(A13)=0,"",INDEX('Smelter Look-up'!$C:$C,MATCH($A13,'Smelter Look-up'!$E:$E,0)))</f>
        <v>Rui Da Hung</v>
      </c>
      <c r="D13" s="270" t="s">
        <v>785</v>
      </c>
      <c r="E13" s="208" t="str">
        <f ca="1">IF(ISERROR($V13),"",OFFSET('Smelter Look-up'!$D$4,$V13-4,0)&amp;"")</f>
        <v>TAIWAN, PROVINCE OF CHINA</v>
      </c>
      <c r="F13" s="208" t="str">
        <f ca="1">IF(ISERROR($V13),"",OFFSET('Smelter Look-up'!$E$4,$V13-4,0))</f>
        <v>CID001539</v>
      </c>
      <c r="G13" s="208" t="str">
        <f ca="1">IF(C13=$X$4,IF(ISERROR($V13),"Enter smelter details","RMI"),IF(ISERROR($V13),"",OFFSET('Smelter Look-up'!$F$4,$V13-4,0)))</f>
        <v>RMI</v>
      </c>
      <c r="H13" s="209">
        <f ca="1">IF(ISERROR($V13),"",OFFSET('Smelter Look-up'!$G$4,$V13-4,0))</f>
        <v>0</v>
      </c>
      <c r="I13" s="210" t="str">
        <f ca="1">IF(ISERROR($V13),"",OFFSET('Smelter Look-up'!$H$4,$V13-4,0))</f>
        <v>Longtan Shiang Taoyuan</v>
      </c>
      <c r="J13" s="210" t="str">
        <f ca="1">IF(ISERROR($V13),"",OFFSET('Smelter Look-up'!$I$4,$V13-4,0))</f>
        <v>Taoyuan</v>
      </c>
      <c r="K13" s="260"/>
      <c r="L13" s="260"/>
      <c r="M13" s="260"/>
      <c r="N13" s="357" t="s">
        <v>15668</v>
      </c>
      <c r="O13" s="357" t="s">
        <v>15668</v>
      </c>
      <c r="P13" s="357" t="s">
        <v>15668</v>
      </c>
      <c r="Q13" s="358" t="s">
        <v>15669</v>
      </c>
      <c r="R13" s="208" t="str">
        <f ca="1">IF(ISERROR($V13),"",OFFSET('Smelter Look-up'!$C$4,$V13-4,0)&amp;"")</f>
        <v>Rui Da Hung</v>
      </c>
      <c r="S13" s="215" t="str">
        <f t="shared" ca="1" si="3"/>
        <v>TW</v>
      </c>
      <c r="T13" s="215" t="str">
        <f ca="1">IF(B13="","",IF(ISERROR(MATCH($J13,SorP!$B$1:$B$6230,0)),"",INDIRECT("'SorP'!$A$"&amp;MATCH($J13,SorP!$B$1:$B$6230,0))))</f>
        <v>TW-TAO</v>
      </c>
      <c r="U13" s="231"/>
      <c r="V13" s="262">
        <f ca="1">IF(C13="",NA(),IF(OR(C13="Smelter not listed",C13="Smelter not yet identified"),MATCH($B13&amp;$D13,'Smelter Look-up'!$J:$J,0),MATCH($B13&amp;$C13,'Smelter Look-up'!$J:$J,0)))</f>
        <v>516</v>
      </c>
      <c r="W13" s="263"/>
      <c r="X13" s="263">
        <f t="shared" ca="1" si="4"/>
        <v>0</v>
      </c>
      <c r="Y13" s="263"/>
      <c r="Z13" s="263"/>
      <c r="AB13" s="265" t="str">
        <f t="shared" ca="1" si="5"/>
        <v>TinRui Da Hung</v>
      </c>
    </row>
    <row r="14" spans="1:34" s="264" customFormat="1" ht="19.95" customHeight="1">
      <c r="A14" s="207" t="s">
        <v>773</v>
      </c>
      <c r="B14" s="208" t="s">
        <v>1131</v>
      </c>
      <c r="C14" s="212" t="str">
        <f ca="1">IF(LEN(A14)=0,"",INDEX('Smelter Look-up'!$C:$C,MATCH($A14,'Smelter Look-up'!$E:$E,0)))</f>
        <v>China Tin Group Co., Ltd.</v>
      </c>
      <c r="D14" s="270" t="s">
        <v>1327</v>
      </c>
      <c r="E14" s="208" t="str">
        <f ca="1">IF(ISERROR($V14),"",OFFSET('Smelter Look-up'!$D$4,$V14-4,0)&amp;"")</f>
        <v>CHINA</v>
      </c>
      <c r="F14" s="208" t="str">
        <f ca="1">IF(ISERROR($V14),"",OFFSET('Smelter Look-up'!$E$4,$V14-4,0))</f>
        <v>CID001070</v>
      </c>
      <c r="G14" s="208" t="str">
        <f ca="1">IF(C14=$X$4,IF(ISERROR($V14),"Enter smelter details","RMI"),IF(ISERROR($V14),"",OFFSET('Smelter Look-up'!$F$4,$V14-4,0)))</f>
        <v>RMI</v>
      </c>
      <c r="H14" s="209">
        <f ca="1">IF(ISERROR($V14),"",OFFSET('Smelter Look-up'!$G$4,$V14-4,0))</f>
        <v>0</v>
      </c>
      <c r="I14" s="210" t="str">
        <f ca="1">IF(ISERROR($V14),"",OFFSET('Smelter Look-up'!$H$4,$V14-4,0))</f>
        <v>Laibin</v>
      </c>
      <c r="J14" s="210" t="str">
        <f ca="1">IF(ISERROR($V14),"",OFFSET('Smelter Look-up'!$I$4,$V14-4,0))</f>
        <v>Guangxi Zhuangzu Zizhiqu</v>
      </c>
      <c r="K14" s="260"/>
      <c r="L14" s="260"/>
      <c r="M14" s="260"/>
      <c r="N14" s="357" t="s">
        <v>15668</v>
      </c>
      <c r="O14" s="357" t="s">
        <v>15668</v>
      </c>
      <c r="P14" s="357" t="s">
        <v>15668</v>
      </c>
      <c r="Q14" s="358" t="s">
        <v>15669</v>
      </c>
      <c r="R14" s="208" t="str">
        <f ca="1">IF(ISERROR($V14),"",OFFSET('Smelter Look-up'!$C$4,$V14-4,0)&amp;"")</f>
        <v>China Tin Group Co., Ltd.</v>
      </c>
      <c r="S14" s="215" t="str">
        <f t="shared" ca="1" si="3"/>
        <v>CN</v>
      </c>
      <c r="T14" s="215" t="str">
        <f ca="1">IF(B14="","",IF(ISERROR(MATCH($J14,SorP!$B$1:$B$6230,0)),"",INDIRECT("'SorP'!$A$"&amp;MATCH($J14,SorP!$B$1:$B$6230,0))))</f>
        <v>CN-GX</v>
      </c>
      <c r="U14" s="231"/>
      <c r="V14" s="262">
        <f ca="1">IF(C14="",NA(),IF(OR(C14="Smelter not listed",C14="Smelter not yet identified"),MATCH($B14&amp;$D14,'Smelter Look-up'!$J:$J,0),MATCH($B14&amp;$C14,'Smelter Look-up'!$J:$J,0)))</f>
        <v>402</v>
      </c>
      <c r="W14" s="263"/>
      <c r="X14" s="263">
        <f t="shared" ca="1" si="4"/>
        <v>0</v>
      </c>
      <c r="Y14" s="263"/>
      <c r="Z14" s="263"/>
      <c r="AB14" s="265" t="str">
        <f t="shared" ca="1" si="5"/>
        <v>TinChina Tin Group Co., Ltd.</v>
      </c>
    </row>
    <row r="15" spans="1:34" s="264" customFormat="1" ht="19.95" customHeight="1">
      <c r="A15" s="356" t="s">
        <v>776</v>
      </c>
      <c r="B15" s="208" t="s">
        <v>1131</v>
      </c>
      <c r="C15" s="212" t="str">
        <f ca="1">IF(LEN(A15)=0,"",INDEX('Smelter Look-up'!$C:$C,MATCH($A15,'Smelter Look-up'!$E:$E,0)))</f>
        <v>Minsur</v>
      </c>
      <c r="D15" s="270" t="s">
        <v>1034</v>
      </c>
      <c r="E15" s="208" t="str">
        <f ca="1">IF(ISERROR($V15),"",OFFSET('Smelter Look-up'!$D$4,$V15-4,0)&amp;"")</f>
        <v>PERU</v>
      </c>
      <c r="F15" s="208" t="str">
        <f ca="1">IF(ISERROR($V15),"",OFFSET('Smelter Look-up'!$E$4,$V15-4,0))</f>
        <v>CID001182</v>
      </c>
      <c r="G15" s="208" t="str">
        <f ca="1">IF(C15=$X$4,IF(ISERROR($V15),"Enter smelter details","RMI"),IF(ISERROR($V15),"",OFFSET('Smelter Look-up'!$F$4,$V15-4,0)))</f>
        <v>RMI</v>
      </c>
      <c r="H15" s="209">
        <f ca="1">IF(ISERROR($V15),"",OFFSET('Smelter Look-up'!$G$4,$V15-4,0))</f>
        <v>0</v>
      </c>
      <c r="I15" s="210" t="str">
        <f ca="1">IF(ISERROR($V15),"",OFFSET('Smelter Look-up'!$H$4,$V15-4,0))</f>
        <v>Paracas</v>
      </c>
      <c r="J15" s="210" t="str">
        <f ca="1">IF(ISERROR($V15),"",OFFSET('Smelter Look-up'!$I$4,$V15-4,0))</f>
        <v>Ika</v>
      </c>
      <c r="K15" s="260"/>
      <c r="L15" s="260"/>
      <c r="M15" s="260"/>
      <c r="N15" s="357" t="s">
        <v>15668</v>
      </c>
      <c r="O15" s="357" t="s">
        <v>15668</v>
      </c>
      <c r="P15" s="357" t="s">
        <v>15668</v>
      </c>
      <c r="Q15" s="358" t="s">
        <v>15669</v>
      </c>
      <c r="R15" s="208" t="str">
        <f ca="1">IF(ISERROR($V15),"",OFFSET('Smelter Look-up'!$C$4,$V15-4,0)&amp;"")</f>
        <v>Minsur</v>
      </c>
      <c r="S15" s="215" t="str">
        <f t="shared" ca="1" si="3"/>
        <v>PE</v>
      </c>
      <c r="T15" s="215" t="str">
        <f ca="1">IF(B15="","",IF(ISERROR(MATCH($J15,SorP!$B$1:$B$6230,0)),"",INDIRECT("'SorP'!$A$"&amp;MATCH($J15,SorP!$B$1:$B$6230,0))))</f>
        <v>PE-ICA</v>
      </c>
      <c r="U15" s="231"/>
      <c r="V15" s="262">
        <f ca="1">IF(C15="",NA(),IF(OR(C15="Smelter not listed",C15="Smelter not yet identified"),MATCH($B15&amp;$D15,'Smelter Look-up'!$J:$J,0),MATCH($B15&amp;$C15,'Smelter Look-up'!$J:$J,0)))</f>
        <v>468</v>
      </c>
      <c r="W15" s="263"/>
      <c r="X15" s="263">
        <f t="shared" ca="1" si="4"/>
        <v>0</v>
      </c>
      <c r="Y15" s="263"/>
      <c r="Z15" s="263"/>
      <c r="AB15" s="265" t="str">
        <f t="shared" ca="1" si="5"/>
        <v>TinMinsur</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F08892-5346-46FB-BFA7-424FC78B4DF8}"/>
    </customSheetView>
  </customSheetViews>
  <mergeCells count="3">
    <mergeCell ref="J2:O2"/>
    <mergeCell ref="B3:E3"/>
    <mergeCell ref="G3:I3"/>
  </mergeCells>
  <conditionalFormatting sqref="B586:B2504">
    <cfRule type="expression" dxfId="40" priority="42" stopIfTrue="1">
      <formula>IF(B586="",TRUE)</formula>
    </cfRule>
    <cfRule type="expression" dxfId="39" priority="53" stopIfTrue="1">
      <formula>IF(AND(COUNTIF(MetalSmelter,B586&amp;C586)=0,LEN(C586)&gt;0),TRUE,FALSE)</formula>
    </cfRule>
  </conditionalFormatting>
  <conditionalFormatting sqref="R586:R2505 E586:E2504">
    <cfRule type="expression" dxfId="38" priority="49" stopIfTrue="1">
      <formula>IF(AND(E586="",$C586=$X$4),TRUE)</formula>
    </cfRule>
    <cfRule type="expression" dxfId="37" priority="50" stopIfTrue="1">
      <formula>IF(FIND("!",E586),TRUE)</formula>
    </cfRule>
  </conditionalFormatting>
  <conditionalFormatting sqref="F586:F2504">
    <cfRule type="expression" dxfId="36" priority="40" stopIfTrue="1">
      <formula>IF(AND(LEN($A586)&gt;0,$A586&lt;&gt;$F586),TRUE,FALSE)</formula>
    </cfRule>
  </conditionalFormatting>
  <conditionalFormatting sqref="C586:C2504">
    <cfRule type="expression" dxfId="35" priority="39" stopIfTrue="1">
      <formula>IF(AND(B586&lt;&gt;"",C586=""),TRUE)</formula>
    </cfRule>
  </conditionalFormatting>
  <conditionalFormatting sqref="B21:B585 B16:B19">
    <cfRule type="expression" dxfId="34" priority="18" stopIfTrue="1">
      <formula>IF(B16="",TRUE)</formula>
    </cfRule>
    <cfRule type="expression" dxfId="33" priority="21" stopIfTrue="1">
      <formula>IF(AND(COUNTIF(MetalSmelter,B16&amp;C16)=0,LEN(C16)&gt;0),TRUE,FALSE)</formula>
    </cfRule>
  </conditionalFormatting>
  <conditionalFormatting sqref="G5:G2504">
    <cfRule type="expression" dxfId="32" priority="24" stopIfTrue="1">
      <formula>IF(FIND("Enter smelter details",G5),TRUE)</formula>
    </cfRule>
  </conditionalFormatting>
  <conditionalFormatting sqref="R5:R585 E21:E585 E5:E19">
    <cfRule type="expression" dxfId="31" priority="19" stopIfTrue="1">
      <formula>IF(AND(E5="",$C5=$X$4),TRUE)</formula>
    </cfRule>
    <cfRule type="expression" dxfId="30" priority="20" stopIfTrue="1">
      <formula>IF(FIND("!",E5),TRUE)</formula>
    </cfRule>
  </conditionalFormatting>
  <conditionalFormatting sqref="F5:F19 F21:F585">
    <cfRule type="expression" dxfId="29" priority="17" stopIfTrue="1">
      <formula>IF(AND(LEN($A5)&gt;0,$A5&lt;&gt;$F5),TRUE,FALSE)</formula>
    </cfRule>
  </conditionalFormatting>
  <conditionalFormatting sqref="C21:C585 C5:C19">
    <cfRule type="expression" dxfId="28" priority="16" stopIfTrue="1">
      <formula>IF(AND(B5&lt;&gt;"",C5=""),TRUE)</formula>
    </cfRule>
  </conditionalFormatting>
  <conditionalFormatting sqref="B20">
    <cfRule type="expression" dxfId="27" priority="8" stopIfTrue="1">
      <formula>IF(B20="",TRUE)</formula>
    </cfRule>
    <cfRule type="expression" dxfId="26" priority="11" stopIfTrue="1">
      <formula>IF(AND(COUNTIF(MetalSmelter,B20&amp;C20)=0,LEN(C20)&gt;0),TRUE,FALSE)</formula>
    </cfRule>
  </conditionalFormatting>
  <conditionalFormatting sqref="E20">
    <cfRule type="expression" dxfId="25" priority="9" stopIfTrue="1">
      <formula>IF(AND(E20="",$C20=$X$4),TRUE)</formula>
    </cfRule>
    <cfRule type="expression" dxfId="24" priority="10" stopIfTrue="1">
      <formula>IF(FIND("!",E20),TRUE)</formula>
    </cfRule>
  </conditionalFormatting>
  <conditionalFormatting sqref="F20">
    <cfRule type="expression" dxfId="23" priority="7" stopIfTrue="1">
      <formula>IF(AND(LEN($A20)&gt;0,$A20&lt;&gt;$F20),TRUE,FALSE)</formula>
    </cfRule>
  </conditionalFormatting>
  <conditionalFormatting sqref="C20">
    <cfRule type="expression" dxfId="22" priority="6" stopIfTrue="1">
      <formula>IF(AND(B20&lt;&gt;"",C20=""),TRUE)</formula>
    </cfRule>
  </conditionalFormatting>
  <conditionalFormatting sqref="D5:D2504">
    <cfRule type="expression" dxfId="21" priority="15" stopIfTrue="1">
      <formula>IF(AND(LEN($C5)&gt;0,AND($C5&lt;&gt;"Smelter Not Listed",ISBLANK($D5))),1,0)</formula>
    </cfRule>
    <cfRule type="expression" dxfId="20" priority="22" stopIfTrue="1">
      <formula>IF(AND(D5="",$C5=$X$4),TRUE)</formula>
    </cfRule>
    <cfRule type="expression" dxfId="19" priority="23" stopIfTrue="1">
      <formula>IF(FIND("!",D5),TRUE)</formula>
    </cfRule>
  </conditionalFormatting>
  <conditionalFormatting sqref="B5:B14">
    <cfRule type="expression" dxfId="18" priority="3" stopIfTrue="1">
      <formula>IF(B5="",TRUE)</formula>
    </cfRule>
    <cfRule type="expression" dxfId="17" priority="4" stopIfTrue="1">
      <formula>IF(AND(COUNTIF(MetalSmelter,B5&amp;C5)=0,LEN(C5)&gt;0),TRUE,FALSE)</formula>
    </cfRule>
  </conditionalFormatting>
  <conditionalFormatting sqref="B15">
    <cfRule type="expression" dxfId="16" priority="1" stopIfTrue="1">
      <formula>IF(B15="",TRUE)</formula>
    </cfRule>
    <cfRule type="expression" dxfId="15" priority="2" stopIfTrue="1">
      <formula>IF(AND(COUNTIF(MetalSmelter,B15&amp;C15)=0,LEN(C15)&gt;0),TRUE,FALSE)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8" t="str">
        <f ca="1">OFFSET(L!$C$1,MATCH("Checker"&amp;ADDRESS(ROW(),COLUMN(),4),L!$A:$A,0)-1,SL,,)</f>
        <v>To ensure all required fields have been populated before submitting to your customers review form for any line items highlighted in red</v>
      </c>
      <c r="B1" s="458"/>
      <c r="C1" s="458"/>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Ideal-Tridon Group</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Conflict Minerals Reporting Template (CMRT) for Ideal-Tridon Group</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Barry Nixon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bnixon@idealtridon.com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615-355-1194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Barry Nixon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bnixon@idealtridon.com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44911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http://idealtridon.com/certifications-and-quality/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0</v>
      </c>
      <c r="G67" s="78">
        <f ca="1">IF(AND(COUNTIF(SmelterIdetifiedForMetal,"Gold")&gt;0,COUNTIF('Smelter List'!AB$5:AB$2504,"Gold?*")&gt;0),0,1)</f>
        <v>1</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60" t="str">
        <f ca="1">OFFSET(L!$C$1,MATCH("Product List"&amp;ADDRESS(ROW(),COLUMN(),4),L!$A:$A,0)-1,SL,,)</f>
        <v>Completion required only if reporting level "Product (or List of Products)" selected on the 'Declaration' worksheet.</v>
      </c>
      <c r="B1" s="461"/>
      <c r="C1" s="461"/>
      <c r="D1" s="461"/>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9" t="s">
        <v>898</v>
      </c>
      <c r="C4" s="459"/>
      <c r="D4" s="459"/>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2" t="str">
        <f ca="1">OFFSET(L!$C$1,MATCH("General"&amp;"Cpy",L!$A:$A,0)-1,SL,,)</f>
        <v>© 2022 Responsible Minerals Initiative. All rights reserved.</v>
      </c>
      <c r="C2006" s="462"/>
      <c r="D2006" s="462"/>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Barry Nixon</cp:lastModifiedBy>
  <cp:lastPrinted>2015-04-21T20:47:43Z</cp:lastPrinted>
  <dcterms:created xsi:type="dcterms:W3CDTF">2010-06-21T21:00:23Z</dcterms:created>
  <dcterms:modified xsi:type="dcterms:W3CDTF">2023-01-16T19:55:02Z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